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9005" windowHeight="13035" tabRatio="862" activeTab="1"/>
  </bookViews>
  <sheets>
    <sheet name="表紙" sheetId="1" r:id="rId1"/>
    <sheet name="リアルタイムNAV一覧" sheetId="2" r:id="rId2"/>
    <sheet name="TOCOM-F" sheetId="3" state="hidden" r:id="rId3"/>
    <sheet name="NEXTFUNDS-DELETE" sheetId="4" state="hidden" r:id="rId4"/>
    <sheet name="wei_region3_bloomberg--delete" sheetId="5" state="hidden" r:id="rId5"/>
    <sheet name="指数取得" sheetId="6" r:id="rId6"/>
    <sheet name="基準価額" sheetId="7" r:id="rId7"/>
    <sheet name="DJ-UBSCI指数内訳" sheetId="8" state="hidden" r:id="rId8"/>
    <sheet name="ETFSecuritiesMetal--delete" sheetId="9" state="hidden" r:id="rId9"/>
    <sheet name="NYDOW" sheetId="10" state="hidden" r:id="rId10"/>
    <sheet name="upwork" sheetId="11" state="hidden" r:id="rId11"/>
    <sheet name="patch_upload" sheetId="12" state="hidden" r:id="rId12"/>
    <sheet name="patch" sheetId="13" r:id="rId13"/>
    <sheet name="test" sheetId="14" r:id="rId14"/>
    <sheet name="JGC35" sheetId="15" state="hidden" r:id="rId15"/>
    <sheet name="3daiamond" sheetId="16" state="hidden" r:id="rId16"/>
    <sheet name="RNSC" sheetId="17" state="hidden" r:id="rId17"/>
    <sheet name="old_patch" sheetId="18" state="hidden" r:id="rId18"/>
  </sheets>
  <definedNames>
    <definedName name="DO_AT_EVEN_TIME">'指数取得'!$B$129</definedName>
    <definedName name="etfsMetalQue" localSheetId="8">'ETFSecuritiesMetal--delete'!$A$1:$G$9</definedName>
    <definedName name="EU_SUMMERTIME">'指数取得'!$B$127</definedName>
    <definedName name="index" localSheetId="7">'DJ-UBSCI指数内訳'!$A$1:$M$29</definedName>
    <definedName name="JGC35">'JGC35'!$A$2:$C$36</definedName>
    <definedName name="NEXTFUNDS" localSheetId="3">'NEXTFUNDS-DELETE'!$A$1:$I$142</definedName>
    <definedName name="Portofolio_3D">'3daiamond'!$A$2:$G$28</definedName>
    <definedName name="Portofolio_3D_num">'3daiamond'!$I$3:$I$28</definedName>
    <definedName name="Portofolio_JGC35">'JGC35'!$A$2:$G$36</definedName>
    <definedName name="Portofolio_JGC35_CASH">'JGC35'!$I$38</definedName>
    <definedName name="Portofolio_JGC35_num">'JGC35'!$I$3:$I$36</definedName>
    <definedName name="RNSC">'RNSC'!$L$2:$Q$402</definedName>
    <definedName name="RNSC_StableShareholding">'RNSC'!$J$3:$J$402</definedName>
    <definedName name="temp___1" localSheetId="13">'test'!$A$1:$B$11</definedName>
    <definedName name="TOCOM_Futures" localSheetId="2">'TOCOM-F'!$A$1:$Q$144</definedName>
    <definedName name="US_SUMMERTIME">'指数取得'!$B$126</definedName>
    <definedName name="wei_region3_bloomberg" localSheetId="4">'wei_region3_bloomberg--delete'!$A$1:$E$211</definedName>
  </definedNames>
  <calcPr fullCalcOnLoad="1"/>
</workbook>
</file>

<file path=xl/comments10.xml><?xml version="1.0" encoding="utf-8"?>
<comments xmlns="http://schemas.openxmlformats.org/spreadsheetml/2006/main">
  <authors>
    <author>tmiyakawa</author>
  </authors>
  <commentList>
    <comment ref="B47" authorId="0">
      <text>
        <r>
          <rPr>
            <b/>
            <sz val="9"/>
            <rFont val="ＭＳ Ｐゴシック"/>
            <family val="3"/>
          </rPr>
          <t>tmiyakawa:</t>
        </r>
        <r>
          <rPr>
            <sz val="9"/>
            <rFont val="ＭＳ Ｐゴシック"/>
            <family val="3"/>
          </rPr>
          <t xml:space="preserve">
年１回</t>
        </r>
      </text>
    </comment>
  </commentList>
</comments>
</file>

<file path=xl/comments2.xml><?xml version="1.0" encoding="utf-8"?>
<comments xmlns="http://schemas.openxmlformats.org/spreadsheetml/2006/main">
  <authors>
    <author>tmiyakawa</author>
  </authors>
  <commentList>
    <comment ref="O111" authorId="0">
      <text>
        <r>
          <rPr>
            <sz val="9"/>
            <rFont val="ＭＳ Ｐゴシック"/>
            <family val="3"/>
          </rPr>
          <t>2009/12/8の対象指数×2009/12/9のドル円</t>
        </r>
      </text>
    </comment>
    <comment ref="N111" authorId="0">
      <text>
        <r>
          <rPr>
            <sz val="9"/>
            <rFont val="ＭＳ Ｐゴシック"/>
            <family val="3"/>
          </rPr>
          <t>2009/12/9のNAV</t>
        </r>
      </text>
    </comment>
  </commentList>
</comments>
</file>

<file path=xl/comments6.xml><?xml version="1.0" encoding="utf-8"?>
<comments xmlns="http://schemas.openxmlformats.org/spreadsheetml/2006/main">
  <authors>
    <author>tmiyakawa</author>
  </authors>
  <commentList>
    <comment ref="C150" authorId="0">
      <text>
        <r>
          <rPr>
            <b/>
            <sz val="9"/>
            <rFont val="ＭＳ Ｐゴシック"/>
            <family val="3"/>
          </rPr>
          <t>tmiyakawa:</t>
        </r>
        <r>
          <rPr>
            <sz val="9"/>
            <rFont val="ＭＳ Ｐゴシック"/>
            <family val="3"/>
          </rPr>
          <t xml:space="preserve">
ドル建ての株価騰落率</t>
        </r>
      </text>
    </comment>
    <comment ref="C161" authorId="0">
      <text>
        <r>
          <rPr>
            <b/>
            <sz val="9"/>
            <rFont val="ＭＳ Ｐゴシック"/>
            <family val="3"/>
          </rPr>
          <t>tmiyakawa:</t>
        </r>
        <r>
          <rPr>
            <sz val="9"/>
            <rFont val="ＭＳ Ｐゴシック"/>
            <family val="3"/>
          </rPr>
          <t xml:space="preserve">
ドル建ての株価騰落率</t>
        </r>
      </text>
    </comment>
    <comment ref="E176" authorId="0">
      <text>
        <r>
          <rPr>
            <sz val="9"/>
            <rFont val="ＭＳ Ｐゴシック"/>
            <family val="3"/>
          </rPr>
          <t>暫定</t>
        </r>
      </text>
    </comment>
  </commentList>
</comments>
</file>

<file path=xl/comments7.xml><?xml version="1.0" encoding="utf-8"?>
<comments xmlns="http://schemas.openxmlformats.org/spreadsheetml/2006/main">
  <authors>
    <author>tmiyakawa</author>
  </authors>
  <commentList>
    <comment ref="AA28" authorId="0">
      <text>
        <r>
          <rPr>
            <sz val="12"/>
            <rFont val="ＭＳ Ｐゴシック"/>
            <family val="3"/>
          </rPr>
          <t>毎月月初第5営業日から第9営業日までの5営業日間で5分の１ずつ5番限月から6番限月へ限月の切り替えを行う。ただし、貴金属市場及びアルミニウム市場の偶数限月の商品については、奇数月のみ限月の切り替えを行う。</t>
        </r>
      </text>
    </comment>
    <comment ref="E160" authorId="0">
      <text>
        <r>
          <rPr>
            <b/>
            <sz val="9"/>
            <rFont val="ＭＳ Ｐゴシック"/>
            <family val="3"/>
          </rPr>
          <t>tmiyakawa:</t>
        </r>
        <r>
          <rPr>
            <sz val="9"/>
            <rFont val="ＭＳ Ｐゴシック"/>
            <family val="3"/>
          </rPr>
          <t xml:space="preserve">
偶数月が終わると、期月が新しくなる</t>
        </r>
      </text>
    </comment>
    <comment ref="B175" authorId="0">
      <text>
        <r>
          <rPr>
            <sz val="9"/>
            <rFont val="ＭＳ Ｐゴシック"/>
            <family val="3"/>
          </rPr>
          <t>限月の第3金曜日</t>
        </r>
      </text>
    </comment>
  </commentList>
</comments>
</file>

<file path=xl/sharedStrings.xml><?xml version="1.0" encoding="utf-8"?>
<sst xmlns="http://schemas.openxmlformats.org/spreadsheetml/2006/main" count="5309" uniqueCount="2076">
  <si>
    <t>TOPIX-17金融（除く銀行）</t>
  </si>
  <si>
    <t>先物1枚あたり商品</t>
  </si>
  <si>
    <t>単位</t>
  </si>
  <si>
    <t>現物</t>
  </si>
  <si>
    <t>取引所</t>
  </si>
  <si>
    <t>ETF Securities2</t>
  </si>
  <si>
    <t>ETFS Aluminium</t>
  </si>
  <si>
    <t>Kilograms</t>
  </si>
  <si>
    <t>ETFS Copper</t>
  </si>
  <si>
    <t>lbs</t>
  </si>
  <si>
    <t>ETFS Corn</t>
  </si>
  <si>
    <t>bushels</t>
  </si>
  <si>
    <t>ETFS Crude Oil</t>
  </si>
  <si>
    <t>barrels</t>
  </si>
  <si>
    <t>ETFS Natural Gas</t>
  </si>
  <si>
    <t>mmbtu</t>
  </si>
  <si>
    <t>ETFS Nickel</t>
  </si>
  <si>
    <t>ETFS Soybeans</t>
  </si>
  <si>
    <t>ETFS Wheat</t>
  </si>
  <si>
    <t>ETFS Unleaded Gas</t>
  </si>
  <si>
    <t>gallons</t>
  </si>
  <si>
    <t>TOPIX-17不動産</t>
  </si>
  <si>
    <t>Russell/Nomura 小型コア</t>
  </si>
  <si>
    <t>Ｓ＆Ｐ日本新興株100</t>
  </si>
  <si>
    <t>野村</t>
  </si>
  <si>
    <t>大和</t>
  </si>
  <si>
    <t>日興</t>
  </si>
  <si>
    <t>口数</t>
  </si>
  <si>
    <t>基準価額日付</t>
  </si>
  <si>
    <t>TOPIX-17 食品</t>
  </si>
  <si>
    <t>日付</t>
  </si>
  <si>
    <t>NAV</t>
  </si>
  <si>
    <t>http://finance.yahoo.com/lookup/indices?s=dow+jones%2dubs&amp;t=I&amp;m=ALL&amp;r=3&amp;b=40</t>
  </si>
  <si>
    <t>NAV日付</t>
  </si>
  <si>
    <t>NEXT FUNDS インド株式指数・S&amp;P CNX Nifty連動型上場投信</t>
  </si>
  <si>
    <t>TOPIX-17 エネルギー資源</t>
  </si>
  <si>
    <t>TOPIX-17 建設・資材</t>
  </si>
  <si>
    <t>TOPIX-17 素材・化学</t>
  </si>
  <si>
    <t>TOPIX-17 医薬品</t>
  </si>
  <si>
    <t>TOPIX-17 自動車・輸送機</t>
  </si>
  <si>
    <t>TOPIX-17 鉄鋼・非鉄</t>
  </si>
  <si>
    <t>TOPIX-17 機械</t>
  </si>
  <si>
    <t>TOPIX-17 電機・精密</t>
  </si>
  <si>
    <t>TOPIX-17 情報通信・サービスその他</t>
  </si>
  <si>
    <t>TOPIX-17 電力・ガス</t>
  </si>
  <si>
    <t>TOPIX-17 運輸・物流</t>
  </si>
  <si>
    <t>TOPIX-17 商社・卸売</t>
  </si>
  <si>
    <t>TOPIX-17 小売</t>
  </si>
  <si>
    <t>TOPIX-17 金融（除く銀行）</t>
  </si>
  <si>
    <t>TOPIX-17 不動産</t>
  </si>
  <si>
    <t>現在値</t>
  </si>
  <si>
    <t>前日比</t>
  </si>
  <si>
    <t>大型</t>
  </si>
  <si>
    <t>中型</t>
  </si>
  <si>
    <t>小型</t>
  </si>
  <si>
    <t>東証銀行業</t>
  </si>
  <si>
    <t>東証電気機器</t>
  </si>
  <si>
    <t>銘柄コード</t>
  </si>
  <si>
    <t>ＫＯＤＥＸ200上場指数投資信託</t>
  </si>
  <si>
    <t xml:space="preserve">金価格連動型上場投資信託 </t>
  </si>
  <si>
    <t>■使用方法</t>
  </si>
  <si>
    <t>■用途</t>
  </si>
  <si>
    <t>メモ</t>
  </si>
  <si>
    <t>■NAVの計算方法</t>
  </si>
  <si>
    <t>信託報酬</t>
  </si>
  <si>
    <t>■動作環境</t>
  </si>
  <si>
    <t>■最新版の入手</t>
  </si>
  <si>
    <t>■名称</t>
  </si>
  <si>
    <t>下記サイトにて最新版を入手できます</t>
  </si>
  <si>
    <t>■使用上の注意</t>
  </si>
  <si>
    <t>投資は自己責任でお願いします。</t>
  </si>
  <si>
    <t>本シートの情報は、あくまでも参考です。鵜呑みにしないようにしてください。</t>
  </si>
  <si>
    <t>「インド株」対応。RNSCの構成銘柄修正</t>
  </si>
  <si>
    <t>日本信号</t>
  </si>
  <si>
    <t>日鉄鉱業</t>
  </si>
  <si>
    <t>前田建設工業</t>
  </si>
  <si>
    <t>ＮＩＰＰＯ</t>
  </si>
  <si>
    <t>中電工</t>
  </si>
  <si>
    <t>三機工業</t>
  </si>
  <si>
    <t>太平電業</t>
  </si>
  <si>
    <t>ＮＥＣネッツエスアイ</t>
  </si>
  <si>
    <t>大氣社</t>
  </si>
  <si>
    <t>三井製糖</t>
  </si>
  <si>
    <t>森永製菓</t>
  </si>
  <si>
    <t>雪印メグミルク</t>
  </si>
  <si>
    <t>丸大食品</t>
  </si>
  <si>
    <t>新日鉄ソリューションズ</t>
  </si>
  <si>
    <t>ソネット・エムスリー</t>
  </si>
  <si>
    <t>パシフィックゴルフグループインターナショナルホールディングス</t>
  </si>
  <si>
    <t>コカ・コーラウエスト</t>
  </si>
  <si>
    <t>ダイドードリンコ</t>
  </si>
  <si>
    <t>カワチ薬品</t>
  </si>
  <si>
    <t>ゲオ</t>
  </si>
  <si>
    <t>日本風力開発</t>
  </si>
  <si>
    <t>ココカラファイン　ホールディングス</t>
  </si>
  <si>
    <t>マクロのセキュリティレベルを中または低にして、本ファイルをオープンしてください。</t>
  </si>
  <si>
    <t>ユニチカ</t>
  </si>
  <si>
    <t>倉敷紡績</t>
  </si>
  <si>
    <t>ダイワボウホールディングス</t>
  </si>
  <si>
    <t>ＪＦＥ商事ホールディングス</t>
  </si>
  <si>
    <t>グリー</t>
  </si>
  <si>
    <t>コーエーテクモホールディングス</t>
  </si>
  <si>
    <t>ティーガイア</t>
  </si>
  <si>
    <t>北越紀州製紙</t>
  </si>
  <si>
    <t>関東電化工業</t>
  </si>
  <si>
    <t>堺化学工業</t>
  </si>
  <si>
    <t>ステラ　ケミファ</t>
  </si>
  <si>
    <t>日本合成化学工業</t>
  </si>
  <si>
    <t>ケネディクス</t>
  </si>
  <si>
    <t>生化学工業</t>
  </si>
  <si>
    <t>東和薬品</t>
  </si>
  <si>
    <t>中国塗料</t>
  </si>
  <si>
    <t>ラウンドワン</t>
  </si>
  <si>
    <t>ＡＣＣＥＳＳ</t>
  </si>
  <si>
    <t>長谷川香料</t>
  </si>
  <si>
    <t>上村工業</t>
  </si>
  <si>
    <t>日本農薬</t>
  </si>
  <si>
    <t>ニッタ</t>
  </si>
  <si>
    <t>日本カーボン</t>
  </si>
  <si>
    <t>ニチアス</t>
  </si>
  <si>
    <t>共英製鋼</t>
  </si>
  <si>
    <t>東邦亜鉛</t>
  </si>
  <si>
    <t>アサヒホールディングス</t>
  </si>
  <si>
    <t>http://futures.tradingcharts.com/index_futures.html</t>
  </si>
  <si>
    <r>
      <t>CME</t>
    </r>
    <r>
      <rPr>
        <sz val="10"/>
        <rFont val="ＭＳ Ｐゴシック"/>
        <family val="3"/>
      </rPr>
      <t>株価指数先物</t>
    </r>
  </si>
  <si>
    <t>ノーリツ</t>
  </si>
  <si>
    <t>ユニプレス</t>
  </si>
  <si>
    <t>東プレ</t>
  </si>
  <si>
    <t>東京製綱</t>
  </si>
  <si>
    <t>東芝機械</t>
  </si>
  <si>
    <t>旭ダイヤモンド工業</t>
  </si>
  <si>
    <r>
      <t>エネルギー価格</t>
    </r>
    <r>
      <rPr>
        <sz val="10"/>
        <rFont val="Arial"/>
        <family val="2"/>
      </rPr>
      <t>@Bloomberg</t>
    </r>
  </si>
  <si>
    <r>
      <t>エネルギー価格先物</t>
    </r>
    <r>
      <rPr>
        <sz val="10"/>
        <rFont val="Arial"/>
        <family val="2"/>
      </rPr>
      <t>@Bloomberg</t>
    </r>
  </si>
  <si>
    <t>@@ S&amp;P GSCI</t>
  </si>
  <si>
    <t>@  COPPER FUTURE (USd/lb.)</t>
  </si>
  <si>
    <t>http://ita.daiwa-fc.co.jp/ITAS/IND/0131I102.html</t>
  </si>
  <si>
    <t>http://ita.daiwa-fc.co.jp/ITAS/IND/08312102.html</t>
  </si>
  <si>
    <t>http://www.cmegroup.com/trading/commodities/commodity-index/gsci.html</t>
  </si>
  <si>
    <t>■S&amp;P GSCI</t>
  </si>
  <si>
    <t>株式先物</t>
  </si>
  <si>
    <t>三井海洋開発</t>
  </si>
  <si>
    <t>ユニオンツール</t>
  </si>
  <si>
    <t>井関農機</t>
  </si>
  <si>
    <t>新東工業</t>
  </si>
  <si>
    <t>日機装</t>
  </si>
  <si>
    <t>新興プランテック</t>
  </si>
  <si>
    <t>フジテック</t>
  </si>
  <si>
    <t>シーケーディ</t>
  </si>
  <si>
    <t>ユニバーサルエンターテインメント</t>
  </si>
  <si>
    <t>ホシザキ電機</t>
  </si>
  <si>
    <t>キッツ</t>
  </si>
  <si>
    <t>東洋電機製造</t>
  </si>
  <si>
    <t>ダイヘン</t>
  </si>
  <si>
    <t>ＪＶＣ・ケンウッド・ホールディングス</t>
  </si>
  <si>
    <t>メルコホールディングス</t>
  </si>
  <si>
    <t>DFC-FULLLIST</t>
  </si>
  <si>
    <t>銘柄コード端</t>
  </si>
  <si>
    <t>ナナオ</t>
  </si>
  <si>
    <t>アンリツ</t>
  </si>
  <si>
    <t>日本電波工業</t>
  </si>
  <si>
    <t>フォスター電機</t>
  </si>
  <si>
    <t>ＳＭＫ</t>
  </si>
  <si>
    <t>日本航空電子工業</t>
  </si>
  <si>
    <t>メガチップス</t>
  </si>
  <si>
    <t>日本ケミコン</t>
  </si>
  <si>
    <t>日本車輌製造</t>
  </si>
  <si>
    <t>武蔵精密工業</t>
  </si>
  <si>
    <t>新明和工業</t>
  </si>
  <si>
    <t>曙ブレーキ工業</t>
  </si>
  <si>
    <t>カヤバ工業</t>
  </si>
  <si>
    <t>カルソニックカンセイ</t>
  </si>
  <si>
    <t>エクセディ</t>
  </si>
  <si>
    <t>日本精機</t>
  </si>
  <si>
    <t>テイ・エス　テック</t>
  </si>
  <si>
    <t>黒田電気</t>
  </si>
  <si>
    <t>メガネトップ</t>
  </si>
  <si>
    <t>ゼンショー</t>
  </si>
  <si>
    <t>ガリバーインターナショナル</t>
  </si>
  <si>
    <t>ナカニシ</t>
  </si>
  <si>
    <t>日本電産サンキョー</t>
  </si>
  <si>
    <t>エイベックス・グループ・ホールディングス</t>
  </si>
  <si>
    <t>TOCOM-白金指数騰落率</t>
  </si>
  <si>
    <t>国内金先物ETF対象指数騰落率</t>
  </si>
  <si>
    <t>フジシールインターナショナル</t>
  </si>
  <si>
    <t>パラマウントベッド</t>
  </si>
  <si>
    <t>タカラスタンダード</t>
  </si>
  <si>
    <t>兼松</t>
  </si>
  <si>
    <t>美津濃</t>
  </si>
  <si>
    <t>東邦ホールディングス</t>
  </si>
  <si>
    <t>サンリオ</t>
  </si>
  <si>
    <t>モスフードサービス</t>
  </si>
  <si>
    <t>木曽路</t>
  </si>
  <si>
    <t>日本瓦斯</t>
  </si>
  <si>
    <t>平和堂</t>
  </si>
  <si>
    <t>フジ</t>
  </si>
  <si>
    <t>札幌北洋ホールディングス</t>
  </si>
  <si>
    <t>大垣共立銀行</t>
  </si>
  <si>
    <t>百五銀行</t>
  </si>
  <si>
    <t>阿波銀行</t>
  </si>
  <si>
    <t>佐賀銀行</t>
  </si>
  <si>
    <t>琉球銀行</t>
  </si>
  <si>
    <t>セブン銀行</t>
  </si>
  <si>
    <t>芙蓉総合リース</t>
  </si>
  <si>
    <t>東京センチュリーリース</t>
  </si>
  <si>
    <t>リコーリース</t>
  </si>
  <si>
    <t>アコム</t>
  </si>
  <si>
    <t>プロミス</t>
  </si>
  <si>
    <t>http://www.google.com/finance?q=SHA:000016</t>
  </si>
  <si>
    <t>http://finance.yahoo.com/q?s=000001.SS</t>
  </si>
  <si>
    <t>上海総合指数</t>
  </si>
  <si>
    <t>http://www.google.com/finance?q=SHA:000300</t>
  </si>
  <si>
    <t>みずほインベスターズ証券</t>
  </si>
  <si>
    <t>東海東京フィナンシャル・ホールディングス</t>
  </si>
  <si>
    <t>カブドットコム証券</t>
  </si>
  <si>
    <t>大京</t>
  </si>
  <si>
    <t>住友不動産販売</t>
  </si>
  <si>
    <t>ゴールドクレスト</t>
  </si>
  <si>
    <t>アーネストワン</t>
  </si>
  <si>
    <t>GOLD</t>
  </si>
  <si>
    <t>PLUTINUM</t>
  </si>
  <si>
    <t>エヌ・ティ・ティ都市開発</t>
  </si>
  <si>
    <t>近鉄エクスプレス</t>
  </si>
  <si>
    <t>ゼンリン</t>
  </si>
  <si>
    <t>静岡瓦斯</t>
  </si>
  <si>
    <t>エイチ・アイ・エス</t>
  </si>
  <si>
    <t>カプコン</t>
  </si>
  <si>
    <t>日本システムディベロップメント</t>
  </si>
  <si>
    <t>ニチイ学館</t>
  </si>
  <si>
    <t>加藤産業</t>
  </si>
  <si>
    <t>プレナス</t>
  </si>
  <si>
    <t>アークス</t>
  </si>
  <si>
    <t>「リアルタイムNAV一覧」のワークートで操作を行います。</t>
  </si>
  <si>
    <t>XAU=X</t>
  </si>
  <si>
    <t>■履歴</t>
  </si>
  <si>
    <t>公開開始</t>
  </si>
  <si>
    <t>チェックボックスでチェックした指数のみ取り込みます。</t>
  </si>
  <si>
    <t>■今後の予定</t>
  </si>
  <si>
    <t>Standard Time</t>
  </si>
  <si>
    <t>本エクセルシートは、東証・大証に上場するETFのリアルタイムNAV(１口あたりの純資産額)の推定値を計算するのに使います。</t>
  </si>
  <si>
    <t>1680のポートフォリオ(先物)</t>
  </si>
  <si>
    <t>1680の先物ポジション</t>
  </si>
  <si>
    <t>1680の先物ポジションの変化</t>
  </si>
  <si>
    <t>リアルタイムNAVの推定値は以下のいずれかの方法で計算しています。</t>
  </si>
  <si>
    <t>ポートフォリオ（株数）</t>
  </si>
  <si>
    <t>東証ホームページ・ヤフーファイナンス・NIKKEI NET等から株価指数等のデータを取り込むため、インターネット接続環境は必須です。</t>
  </si>
  <si>
    <t>バグ修正等</t>
  </si>
  <si>
    <t>http://ita.daiwa-fc.co.jp/ITAS/IND/01311017.html</t>
  </si>
  <si>
    <t>http://ita.daiwa-fc.co.jp/ITAS/IND/01312017.html</t>
  </si>
  <si>
    <t>http://ita.daiwa-fc.co.jp/ITAS/IND/01312024.html</t>
  </si>
  <si>
    <t>http://ita.daiwa-fc.co.jp/ITAS/IND/01313024.html</t>
  </si>
  <si>
    <t>http://ita.daiwa-fc.co.jp/ITAS/IND/01315024.html</t>
  </si>
  <si>
    <t>http://ita.daiwa-fc.co.jp/ITAS/IND/0131307A.html</t>
  </si>
  <si>
    <t>http://ita.daiwa-fc.co.jp/ITAS/IND/01315083.html</t>
  </si>
  <si>
    <t>http://ita.daiwa-fc.co.jp/ITAS/IND/01316083.html</t>
  </si>
  <si>
    <t>http://ita.daiwa-fc.co.jp/ITAS/IND/01317083.html</t>
  </si>
  <si>
    <t>http://ita.daiwa-fc.co.jp/ITAS/IND/01318083.html</t>
  </si>
  <si>
    <t>http://ita.daiwa-fc.co.jp/ITAS/IND/01319083.html</t>
  </si>
  <si>
    <t>http://ita.daiwa-fc.co.jp/ITAS/IND/0131A083.html</t>
  </si>
  <si>
    <t>http://ita.daiwa-fc.co.jp/ITAS/IND/0131B083.html</t>
  </si>
  <si>
    <t>http://ita.daiwa-fc.co.jp/ITAS/IND/0131C083.html</t>
  </si>
  <si>
    <t>http://ita.daiwa-fc.co.jp/ITAS/IND/0131D083.html</t>
  </si>
  <si>
    <t>http://ita.daiwa-fc.co.jp/ITAS/IND/0131E083.html</t>
  </si>
  <si>
    <t>TOCOM 株式会社東京工業品取引所</t>
  </si>
  <si>
    <t>株式会社 東京工業品取引所</t>
  </si>
  <si>
    <t>お問い合わせ</t>
  </si>
  <si>
    <t>アクセス</t>
  </si>
  <si>
    <t>サイトマップ</t>
  </si>
  <si>
    <t>English</t>
  </si>
  <si>
    <t>ニュース</t>
  </si>
  <si>
    <t>相場情報</t>
  </si>
  <si>
    <t>ヒストリカルデータ</t>
  </si>
  <si>
    <t>取引ガイド</t>
  </si>
  <si>
    <t>先物・オプション入門</t>
  </si>
  <si>
    <t>取引所案内</t>
  </si>
  <si>
    <t>関連リンク</t>
  </si>
  <si>
    <t>相場表一覧(夜間・日中)【先物】</t>
  </si>
  <si>
    <t>計算区域について</t>
  </si>
  <si>
    <t>【夜間取引】 立会終了</t>
  </si>
  <si>
    <t>金 標準取引 (1kg)</t>
  </si>
  <si>
    <t xml:space="preserve">円(1gあたり)  </t>
  </si>
  <si>
    <t>限月</t>
  </si>
  <si>
    <t>前帳入</t>
  </si>
  <si>
    <t>終値</t>
  </si>
  <si>
    <t>-</t>
  </si>
  <si>
    <t>合計</t>
  </si>
  <si>
    <t>帳入値</t>
  </si>
  <si>
    <t>金 ミニ取引 (100g)</t>
  </si>
  <si>
    <t>銀</t>
  </si>
  <si>
    <t xml:space="preserve">円(10gあたり) * 2010年10月限まで  </t>
  </si>
  <si>
    <t xml:space="preserve">円(1gあたり) * 2010年12月限以降  </t>
  </si>
  <si>
    <t>白金 標準取引 (500g)</t>
  </si>
  <si>
    <t>白金 ミニ取引 (100g)</t>
  </si>
  <si>
    <t>パラジウム</t>
  </si>
  <si>
    <t>アルミニウム</t>
  </si>
  <si>
    <t xml:space="preserve">円(1kgあたり)  </t>
  </si>
  <si>
    <t>ガソリン</t>
  </si>
  <si>
    <t xml:space="preserve">円(1klあたり)  </t>
  </si>
  <si>
    <t>灯油</t>
  </si>
  <si>
    <t>原油</t>
  </si>
  <si>
    <t>ゴム</t>
  </si>
  <si>
    <t>夜間取引計</t>
  </si>
  <si>
    <t>日中取引計</t>
  </si>
  <si>
    <t>注意:</t>
  </si>
  <si>
    <t>・「前帳入」は「前日帳入値段」の略称となっております。</t>
  </si>
  <si>
    <t>・各表の価格は、呼値あたりの表示となっています。</t>
  </si>
  <si>
    <t>・相場表は5分間隔での更新を目安としておりますが、システム負荷状況等により時間通りに更新されない場合もございます。ご了承ください。</t>
  </si>
  <si>
    <t>・ゴムの夜間取引については、19:00までとなります。</t>
  </si>
  <si>
    <t>side navigation</t>
  </si>
  <si>
    <t>side navigation until here</t>
  </si>
  <si>
    <t>top</t>
  </si>
  <si>
    <t>ホームページへ戻る</t>
  </si>
  <si>
    <t>プライバシーポリシー</t>
  </si>
  <si>
    <t>ウェブサイトの利用について</t>
  </si>
  <si>
    <t>Copyright©Tokyo Commodity Exchange, Inc. All rights reserved.</t>
  </si>
  <si>
    <t>NEXT FUNDS 日経・東工取白金指数連動型上場投信 《愛称》プラチナ先物ETF</t>
  </si>
  <si>
    <t>国内金先物価格連動型上場投信</t>
  </si>
  <si>
    <t>金現物</t>
  </si>
  <si>
    <t>日経・東工取白金指数</t>
  </si>
  <si>
    <t>日経・東工取サブ商品指数</t>
  </si>
  <si>
    <t>http://www.tocom.or.jp/jp/souba/tocom_index/sub_index.html</t>
  </si>
  <si>
    <t>みずほ投資信託顧問</t>
  </si>
  <si>
    <t>TOCOM金価格</t>
  </si>
  <si>
    <t>出来高</t>
  </si>
  <si>
    <t>始値</t>
  </si>
  <si>
    <t>高値</t>
  </si>
  <si>
    <t>安値</t>
  </si>
  <si>
    <t>http://ita.daiwa-fc.co.jp/ITAS/IND/0131F083.html</t>
  </si>
  <si>
    <t>http://ita.daiwa-fc.co.jp/ITAS/IND/0131G083.html</t>
  </si>
  <si>
    <t>http://ita.daiwa-fc.co.jp/ITAS/IND/0131H083.html</t>
  </si>
  <si>
    <t>http://ita.daiwa-fc.co.jp/ITAS/IND/0131I083.html</t>
  </si>
  <si>
    <t>http://ita.daiwa-fc.co.jp/ITAS/IND/0131J083.html</t>
  </si>
  <si>
    <t>http://ita.daiwa-fc.co.jp/ITAS/IND/0131K083.html</t>
  </si>
  <si>
    <t>修正NAV</t>
  </si>
  <si>
    <t>ニッケル</t>
  </si>
  <si>
    <t>アルミ</t>
  </si>
  <si>
    <t>@  WTI CRUDE FUTURE (USD/bbl.)</t>
  </si>
  <si>
    <t>@  NATURAL GAS FUTR (USD/MMBtu)</t>
  </si>
  <si>
    <t>http://ita.daiwa-fc.co.jp/ITAS/IND/0131L083.html</t>
  </si>
  <si>
    <t>http://ita.daiwa-fc.co.jp/ITAS/IND/01314089.html</t>
  </si>
  <si>
    <t>http://ita.daiwa-fc.co.jp/ITAS/IND/01314954.html</t>
  </si>
  <si>
    <t>QUICK-LIST</t>
  </si>
  <si>
    <t>DJ EURO STOXX 50</t>
  </si>
  <si>
    <t>SPI 200</t>
  </si>
  <si>
    <t>MSCI-KOKUSAI FUTURES</t>
  </si>
  <si>
    <t>DJ EURO STOXX 600</t>
  </si>
  <si>
    <t>金価格連動型上場投資信託(1328.O)対応</t>
  </si>
  <si>
    <t>SPDR　Gold Shares</t>
  </si>
  <si>
    <t>RUSSIAN RTS INDEX $</t>
  </si>
  <si>
    <t>FTSE/JSE AFRICA TOP40 IX</t>
  </si>
  <si>
    <t>Bovespa</t>
  </si>
  <si>
    <t>BRL/JPY</t>
  </si>
  <si>
    <t>RUSSIAN RTS INDEX $</t>
  </si>
  <si>
    <t>http://www.tse.or.jp/rules/etf/etfs_dj_ubsci.pdf</t>
  </si>
  <si>
    <t>etf-securities</t>
  </si>
  <si>
    <t>http://www.bloomberg.co.jp/apps/quote?T=jp09/quote.wm&amp;ticker=DJUBS:IND</t>
  </si>
  <si>
    <t>http://www.bloomberg.co.jp/apps/quote?T=jp09/quote.wm&amp;ticker=AIGC:LN</t>
  </si>
  <si>
    <t>http://www.bloomberg.com/apps/quote?ticker=AIGC%3ALN</t>
  </si>
  <si>
    <t>http://www.bloomberg.com/apps/quote?ticker=DJUBS%3AIND</t>
  </si>
  <si>
    <t>ETF(15分遅れ)</t>
  </si>
  <si>
    <t>指数(REAL)</t>
  </si>
  <si>
    <t>http://www.tse.or.jp/news/201003/100309_a.html</t>
  </si>
  <si>
    <t>FTSE/JSE AFRICA TOP40 IX</t>
  </si>
  <si>
    <t>日付</t>
  </si>
  <si>
    <t>時刻</t>
  </si>
  <si>
    <t>鉱業</t>
  </si>
  <si>
    <t>パルプ・紙</t>
  </si>
  <si>
    <t>医薬品</t>
  </si>
  <si>
    <t>機械</t>
  </si>
  <si>
    <t>電気機器</t>
  </si>
  <si>
    <t>精密機器</t>
  </si>
  <si>
    <t>小売業</t>
  </si>
  <si>
    <t>その他金融業</t>
  </si>
  <si>
    <t>サービス業</t>
  </si>
  <si>
    <t>CODE</t>
  </si>
  <si>
    <t>銘柄名</t>
  </si>
  <si>
    <t>市場</t>
  </si>
  <si>
    <t>業種(東証33業種)</t>
  </si>
  <si>
    <t>Large Value</t>
  </si>
  <si>
    <t>Large Growth</t>
  </si>
  <si>
    <t>Small Value</t>
  </si>
  <si>
    <t>Small Growth</t>
  </si>
  <si>
    <t>サイズ・フラグ</t>
  </si>
  <si>
    <t>安定持株比率</t>
  </si>
  <si>
    <t>Prime・フラグ</t>
  </si>
  <si>
    <t>市場</t>
  </si>
  <si>
    <t>指数用価格</t>
  </si>
  <si>
    <t>前日終値</t>
  </si>
  <si>
    <t>最終日時</t>
  </si>
  <si>
    <r>
      <t>毎月</t>
    </r>
    <r>
      <rPr>
        <sz val="10"/>
        <rFont val="Arial"/>
        <family val="2"/>
      </rPr>
      <t>10</t>
    </r>
    <r>
      <rPr>
        <sz val="10"/>
        <rFont val="ＭＳ Ｐゴシック"/>
        <family val="3"/>
      </rPr>
      <t>日</t>
    </r>
  </si>
  <si>
    <t>発行済株式数</t>
  </si>
  <si>
    <t>Value</t>
  </si>
  <si>
    <t>海外ETFのNAVの変動</t>
  </si>
  <si>
    <t>Yahoo</t>
  </si>
  <si>
    <t>TICKER</t>
  </si>
  <si>
    <t>変動率</t>
  </si>
  <si>
    <t>Growth</t>
  </si>
  <si>
    <t>Value-zenjitu</t>
  </si>
  <si>
    <t>Growth前日</t>
  </si>
  <si>
    <t>TKY1</t>
  </si>
  <si>
    <t>水産・農林業</t>
  </si>
  <si>
    <t>日本水産</t>
  </si>
  <si>
    <t>SMALL(C)</t>
  </si>
  <si>
    <t>マルハニチロホールディングス</t>
  </si>
  <si>
    <t>建設業</t>
  </si>
  <si>
    <t>LIST</t>
  </si>
  <si>
    <t>西松建設</t>
  </si>
  <si>
    <t>奥村組</t>
  </si>
  <si>
    <t>戸田建設</t>
  </si>
  <si>
    <t>不動産業</t>
  </si>
  <si>
    <t>前田道路</t>
  </si>
  <si>
    <t>住友林業</t>
  </si>
  <si>
    <t>関電工</t>
  </si>
  <si>
    <t>きんでん</t>
  </si>
  <si>
    <t>協和エクシオ</t>
  </si>
  <si>
    <t>高砂熱学工業</t>
  </si>
  <si>
    <t>食料品</t>
  </si>
  <si>
    <t>ミクシィ</t>
  </si>
  <si>
    <t>アコーディア・ゴルフ</t>
  </si>
  <si>
    <t>JASDAQ</t>
  </si>
  <si>
    <t>江崎グリコ</t>
  </si>
  <si>
    <t>森永乳業</t>
  </si>
  <si>
    <t>伊藤ハム</t>
  </si>
  <si>
    <t>情報・通信業</t>
  </si>
  <si>
    <t>綜合警備保障</t>
  </si>
  <si>
    <t>コード検索 | ヘルプ</t>
  </si>
  <si>
    <t>ホーム</t>
  </si>
  <si>
    <t>分析ツール</t>
  </si>
  <si>
    <t>ブルームバーグ･メディア</t>
  </si>
  <si>
    <t>注目ページ</t>
  </si>
  <si>
    <t>海外ニュース</t>
  </si>
  <si>
    <t xml:space="preserve">  |  </t>
  </si>
  <si>
    <t>特集記事/コラム</t>
  </si>
  <si>
    <t>投資信託ランキング</t>
  </si>
  <si>
    <t>為替</t>
  </si>
  <si>
    <t>BRL/JPY-FOREX</t>
  </si>
  <si>
    <t>INR/JPY-FOREX</t>
  </si>
  <si>
    <t>ZAR/JPY-FOREX</t>
  </si>
  <si>
    <t>CNY/JPY-FOREX</t>
  </si>
  <si>
    <t>USD/TWD-FOREX</t>
  </si>
  <si>
    <t>USD/AUD-FOREX</t>
  </si>
  <si>
    <t>USD/JPY-FOREX</t>
  </si>
  <si>
    <t>JPY/KRW-FOREX</t>
  </si>
  <si>
    <t>USD/CAD-FOREX</t>
  </si>
  <si>
    <t>EUR/USD-FOREX</t>
  </si>
  <si>
    <t>為替レート計算</t>
  </si>
  <si>
    <t>日経平均銘柄ランキング</t>
  </si>
  <si>
    <t>ホーム &gt; マーケット情報 &gt; 株式 &gt; 世界の株価指数</t>
  </si>
  <si>
    <t>マーケット速報</t>
  </si>
  <si>
    <t>アジア/オセアニア</t>
  </si>
  <si>
    <t>アメリカ/中南米</t>
  </si>
  <si>
    <t>ヨーロッパ</t>
  </si>
  <si>
    <t>世界の株価指数</t>
  </si>
  <si>
    <t>株価指数先物</t>
  </si>
  <si>
    <t>決算発表</t>
  </si>
  <si>
    <t>トップ投信ランキング</t>
  </si>
  <si>
    <t>主要クロスレート</t>
  </si>
  <si>
    <t>ヨーロッパ/中東</t>
  </si>
  <si>
    <t>金利/債券</t>
  </si>
  <si>
    <t>商品先物</t>
  </si>
  <si>
    <t>国内商品先物</t>
  </si>
  <si>
    <t>海外商品先物</t>
  </si>
  <si>
    <t>エネルギー</t>
  </si>
  <si>
    <t>ｱｼﾞｱ太平洋</t>
  </si>
  <si>
    <t>指数</t>
  </si>
  <si>
    <t>価格</t>
  </si>
  <si>
    <t>前日比(％)</t>
  </si>
  <si>
    <t>更新時間</t>
  </si>
  <si>
    <t xml:space="preserve">日経平均株価 </t>
  </si>
  <si>
    <t xml:space="preserve">香港 ﾊﾝｾﾝ指数 </t>
  </si>
  <si>
    <t xml:space="preserve">S&amp;P/ASX200指数 </t>
  </si>
  <si>
    <t xml:space="preserve">ｱｼﾞｱ </t>
  </si>
  <si>
    <t xml:space="preserve">S&amp;P ｱｼﾞｱ50指数 </t>
  </si>
  <si>
    <t xml:space="preserve">MSCI ｱｼﾞｱAPEX50ｲﾝﾃﾞｯｸｽ </t>
  </si>
  <si>
    <t xml:space="preserve">日本 </t>
  </si>
  <si>
    <t xml:space="preserve">TOPIX (東証株価指数) </t>
  </si>
  <si>
    <t xml:space="preserve">TOPIX CORE 30 IDX (東証) </t>
  </si>
  <si>
    <t xml:space="preserve">TOPIX LARGE 70 IDX (東証) </t>
  </si>
  <si>
    <t xml:space="preserve">TOPIX 500 INDEX (東証) </t>
  </si>
  <si>
    <t xml:space="preserve">TOPIX SMALL INDEX (東証) </t>
  </si>
  <si>
    <t xml:space="preserve">TOPIX MID 400 INDX (東証) </t>
  </si>
  <si>
    <t>TOPIX</t>
  </si>
  <si>
    <t xml:space="preserve">TOPIX 100 INDEX (東証) </t>
  </si>
  <si>
    <t xml:space="preserve">東証２部 株価指数 </t>
  </si>
  <si>
    <t xml:space="preserve">日経300指数 </t>
  </si>
  <si>
    <t xml:space="preserve">日経500平均 </t>
  </si>
  <si>
    <t xml:space="preserve">JASDAQ ｲﾝﾃﾞｯｸｽ </t>
  </si>
  <si>
    <t xml:space="preserve">日経ｼﾞｬｽﾀﾞｯｸ平均 </t>
  </si>
  <si>
    <t xml:space="preserve">東証REIT指数 </t>
  </si>
  <si>
    <t xml:space="preserve">東証マザーズ指数 </t>
  </si>
  <si>
    <t xml:space="preserve">大証 ﾍﾗｸﾚｽ指数 </t>
  </si>
  <si>
    <t xml:space="preserve">香港 </t>
  </si>
  <si>
    <t xml:space="preserve">ﾊﾝｾﾝ総合指数 </t>
  </si>
  <si>
    <t xml:space="preserve">S&amp;P/HKEx 大型株指数 </t>
  </si>
  <si>
    <t xml:space="preserve">S&amp;P/HKEx GEM指数 </t>
  </si>
  <si>
    <t xml:space="preserve">ﾊﾝｾﾝ浮動株総合指数 </t>
  </si>
  <si>
    <t xml:space="preserve">ﾊﾝｾﾝ香港浮動株指数 </t>
  </si>
  <si>
    <t xml:space="preserve">ﾊﾝｾﾝ中国企業株指数(H株) </t>
  </si>
  <si>
    <t xml:space="preserve">ﾊﾝｾﾝ中国ﾚｯﾄﾞﾁｯﾌﾟ指数 </t>
  </si>
  <si>
    <t xml:space="preserve">ﾊﾝｾﾝ中国本土企業浮動株 </t>
  </si>
  <si>
    <t xml:space="preserve">ﾊﾝｾﾝ浮動株50指数 </t>
  </si>
  <si>
    <t xml:space="preserve">ﾊﾝｾﾝ香港浮動株25指数 </t>
  </si>
  <si>
    <t xml:space="preserve">ﾊﾝｾﾝ中国本土企業浮動株25 </t>
  </si>
  <si>
    <t xml:space="preserve">ﾊﾝｾﾝ中国H株金融指数 </t>
  </si>
  <si>
    <t xml:space="preserve">中国 </t>
  </si>
  <si>
    <t xml:space="preserve">中国 上海A株指数 </t>
  </si>
  <si>
    <t xml:space="preserve">中国 上海B株指数 </t>
  </si>
  <si>
    <t xml:space="preserve">中国 ｼﾝｾﾝA株指数 </t>
  </si>
  <si>
    <t xml:space="preserve">中国 ｼﾝｾﾝB株指数 </t>
  </si>
  <si>
    <t xml:space="preserve">中国 上海総合指数 </t>
  </si>
  <si>
    <t xml:space="preserve">中国 ｼﾝｾﾝ総合指数 </t>
  </si>
  <si>
    <t xml:space="preserve">中国 上海180指数 </t>
  </si>
  <si>
    <t xml:space="preserve">中国 ｼﾝｾﾝ新指数(G株) </t>
  </si>
  <si>
    <t xml:space="preserve">中国 上海新総合指数(G株) </t>
  </si>
  <si>
    <t xml:space="preserve">中国 ｼﾝｾﾝ40指数 </t>
  </si>
  <si>
    <t xml:space="preserve">台湾 </t>
  </si>
  <si>
    <t xml:space="preserve">TAISDAQ 総合指数 </t>
  </si>
  <si>
    <t xml:space="preserve">台湾50指数 </t>
  </si>
  <si>
    <t xml:space="preserve">韓国 </t>
  </si>
  <si>
    <t xml:space="preserve">韓国 KRX100指数 </t>
  </si>
  <si>
    <t xml:space="preserve">韓国総合株価指数 </t>
  </si>
  <si>
    <t xml:space="preserve">韓国100種株価指数 </t>
  </si>
  <si>
    <t xml:space="preserve">韓国50種株価指数 </t>
  </si>
  <si>
    <t xml:space="preserve">ｺｽﾀﾞｯｸ指数 </t>
  </si>
  <si>
    <t xml:space="preserve">ｺｽﾀﾞｯｸ STAR指数 </t>
  </si>
  <si>
    <t xml:space="preserve">ｵｰｽﾄﾗﾘｱ </t>
  </si>
  <si>
    <t xml:space="preserve">S&amp;P/ASX300指数 </t>
  </si>
  <si>
    <t xml:space="preserve">ASX 全普通株指数 </t>
  </si>
  <si>
    <t xml:space="preserve">ﾆｭｰｼﾞｰﾗﾝﾄﾞ </t>
  </si>
  <si>
    <t xml:space="preserve">NZSX 浮動株50 ﾄｰﾀﾙﾘﾀｰﾝ </t>
  </si>
  <si>
    <t xml:space="preserve">NZSX ﾄｯﾌﾟ10指数 </t>
  </si>
  <si>
    <t xml:space="preserve">NZSX 15種 ｸﾞﾛｽ </t>
  </si>
  <si>
    <t xml:space="preserve">NZSX 全普通株指数 </t>
  </si>
  <si>
    <t xml:space="preserve">ﾊﾟｷｽﾀﾝ </t>
  </si>
  <si>
    <t xml:space="preserve">ｶﾗﾁ KSE100指数 </t>
  </si>
  <si>
    <t xml:space="preserve">ｶﾗﾁ KSE30指数 </t>
  </si>
  <si>
    <t xml:space="preserve">ｶﾗﾁ 全株指数 </t>
  </si>
  <si>
    <t xml:space="preserve">ｽﾘﾗﾝｶ </t>
  </si>
  <si>
    <t xml:space="preserve">ｽﾘﾗﾝｶ ｺﾛﾝﾎﾞ全株指数 </t>
  </si>
  <si>
    <t xml:space="preserve">ﾀｲ </t>
  </si>
  <si>
    <t xml:space="preserve">ﾀｲ SET指数 </t>
  </si>
  <si>
    <t xml:space="preserve">ﾀｲ SET 50種 </t>
  </si>
  <si>
    <t xml:space="preserve">ｲﾝﾄﾞﾈｼｱ </t>
  </si>
  <si>
    <t xml:space="preserve">ｼﾞｬｶﾙﾀ 総合指数 </t>
  </si>
  <si>
    <t xml:space="preserve">ｼﾞｬｶﾙﾀ LQ-45種 </t>
  </si>
  <si>
    <t xml:space="preserve">ｲﾝﾄﾞ </t>
  </si>
  <si>
    <t xml:space="preserve">ﾑﾝﾊﾞｲ SENSEX30種 </t>
  </si>
  <si>
    <t xml:space="preserve">ｲﾝﾄﾞ NIFTY指数 </t>
  </si>
  <si>
    <t xml:space="preserve">ﾑﾝﾊﾞｲ 500種指数 </t>
  </si>
  <si>
    <t xml:space="preserve">ﾑﾝﾊﾞｲ 200種指数 </t>
  </si>
  <si>
    <t xml:space="preserve">ﾑﾝﾊﾞｲ 100種指数 </t>
  </si>
  <si>
    <t xml:space="preserve">ｼﾝｶﾞﾎﾟｰﾙ </t>
  </si>
  <si>
    <t xml:space="preserve">ｼﾝｶﾞﾎﾟｰﾙ ST指数 </t>
  </si>
  <si>
    <t xml:space="preserve">ｼﾝｶﾞﾎﾟｰﾙ FTSE STｵｰﾙｼｪｱ </t>
  </si>
  <si>
    <t xml:space="preserve">ﾏﾚｰｼｱ </t>
  </si>
  <si>
    <t xml:space="preserve">FTSEﾌﾞﾙｻﾏﾚｰｼｱKLCIｲﾝﾃﾞｯｸｽ </t>
  </si>
  <si>
    <t>ETFS SecuritiesのDJ-UBSCI商品ETFシリーズ対応(14銘柄)</t>
  </si>
  <si>
    <t xml:space="preserve">FTSEﾌﾞﾙｻﾏﾚｰｼｱEMASｲﾝﾃﾞｯｸｽ </t>
  </si>
  <si>
    <t xml:space="preserve">ﾌｨﾘﾋﾟﾝ </t>
  </si>
  <si>
    <t xml:space="preserve">ﾌｨﾘﾋﾟﾝ 総合指数 </t>
  </si>
  <si>
    <t xml:space="preserve">ﾍﾞﾄﾅﾑ </t>
  </si>
  <si>
    <t xml:space="preserve">ﾍﾞﾄﾅﾑ VN指数 </t>
  </si>
  <si>
    <t xml:space="preserve">ﾊﾉｲ証券取引所株価指数 </t>
  </si>
  <si>
    <t>ETFS 総合商品指数（DJ-UBSCI）上場投資信託</t>
  </si>
  <si>
    <t>ETFS エネルギー商品指数（DJ-UBSCI）上場投資信託</t>
  </si>
  <si>
    <t>ETFS 産業用金属商品指数（DJ-UBSCI）上場投資信託</t>
  </si>
  <si>
    <t>ETFS 天然ガス上場投資信託</t>
  </si>
  <si>
    <t>ETFS 原油上場投資信託</t>
  </si>
  <si>
    <t>ETFS ガソリン上場投資信託</t>
  </si>
  <si>
    <t>ETFS アルミニウム上場投資信託</t>
  </si>
  <si>
    <t>ETFS 銅上場投資信託</t>
  </si>
  <si>
    <t>ETFS ニッケル上場投資信託</t>
  </si>
  <si>
    <t>ETFS 小麦上場投資信託</t>
  </si>
  <si>
    <t>ETFS とうもろこし上場投資信託</t>
  </si>
  <si>
    <t>ETFS 大豆上場投資信託</t>
  </si>
  <si>
    <t>DJ-UBSCI 総合商品指数</t>
  </si>
  <si>
    <t>ETFS 農産物商品指数（DJ-UBSCI）上場投資信託</t>
  </si>
  <si>
    <t>ETFS 穀物商品指数（DJ-UBSCI）上場投資信託</t>
  </si>
  <si>
    <t>DJ-UBSCI 天然ガス指数</t>
  </si>
  <si>
    <t>DJ-UBSCI 銅商品指数</t>
  </si>
  <si>
    <t>DJ-UBSCI 小麦商品指数</t>
  </si>
  <si>
    <t>DJ-UBSCI 大豆商品指数</t>
  </si>
  <si>
    <t>DJ-UBSCI 原油商品指数</t>
  </si>
  <si>
    <t>DJ-UBSCI ガソリン商品指数</t>
  </si>
  <si>
    <t>DJ-UBSCI アルミニウム商品指数</t>
  </si>
  <si>
    <t>DJ-UBSCI ニッケル商品指数</t>
  </si>
  <si>
    <t>DJ-UBSCI とうもろこし商品指数</t>
  </si>
  <si>
    <t>ダイワ上場投信・TOPIX-17 金融（除く銀行）</t>
  </si>
  <si>
    <t>ダイワ上場投信・TOPIX-17 不動産</t>
  </si>
  <si>
    <t>上場インデックスファンド２２５</t>
  </si>
  <si>
    <t>上場インデックスファンドＴＯＰＩＸ</t>
  </si>
  <si>
    <t>上場インデックスファンドＳ＆Ｐ日本新興株100</t>
  </si>
  <si>
    <t>上場インデックスファンドTOPIX100日本大型株</t>
  </si>
  <si>
    <t>上場インデックスファンドTOPIX Mid400日本中型株</t>
  </si>
  <si>
    <t>上場インデックスファンドTOPIX Small日本小型株</t>
  </si>
  <si>
    <t>上場インデックスファンド中国Ａ株式（パンダ）CSI300</t>
  </si>
  <si>
    <t>上場インデックスファンドＪリート（東証ＲＥＩＴ指数）隔月分配型</t>
  </si>
  <si>
    <t>上場インデックスファンドＦＴＳＥ日本グリーンチップ35</t>
  </si>
  <si>
    <t>上場インデックスファンド海外債券（Citigroup WGBI）毎月分配型</t>
  </si>
  <si>
    <t>上場インデックスファンド海外先進国株式（MSCI-KOKUSAI）</t>
  </si>
  <si>
    <t>ｉシェアーズ日経２２５</t>
  </si>
  <si>
    <t>SPDR Gold Shares</t>
  </si>
  <si>
    <t>ＭＡＸＩＳ トピックス・コア３０上場投信</t>
  </si>
  <si>
    <t>ＭＡＸＩＳ 日経２２５上場投信</t>
  </si>
  <si>
    <t>ＭＡＸＩＳ トピックス上場投信</t>
  </si>
  <si>
    <t>ＭＡＸＩＳ Ｓ＆Ｐ三菱系企業群上場投信</t>
  </si>
  <si>
    <t>ETFS金上場投資信託（金ETF）</t>
  </si>
  <si>
    <t>ETFS銀上場投資信託（銀ETF）</t>
  </si>
  <si>
    <t>ETFS白金上場投資信託（プラチナETF）</t>
  </si>
  <si>
    <t>ETFSパラジウム上場投資信託（パラジウムETF）</t>
  </si>
  <si>
    <t>ETFS貴金属バスケット上場投資信託（貴金属バスケットETF）</t>
  </si>
  <si>
    <t>国内金先物価格連動型上場投信</t>
  </si>
  <si>
    <t>取引日:2010年03月18日</t>
  </si>
  <si>
    <t>ダイワ上場投信－トピックス</t>
  </si>
  <si>
    <t>ダイワ上場投信－日経２２５</t>
  </si>
  <si>
    <t>ダイワ上場投信－トピックス・コア30</t>
  </si>
  <si>
    <t>ダイワ上場投信－東証電気機器株価指数</t>
  </si>
  <si>
    <t>ダイワ上場投信－東証銀行業株価指数</t>
  </si>
  <si>
    <t>ダイワ上場投信・TOPIX-17 食品</t>
  </si>
  <si>
    <t>ダイワ上場投信・TOPIX-17 エネルギー資源</t>
  </si>
  <si>
    <t>ダイワ上場投信・TOPIX-17 建設・資材</t>
  </si>
  <si>
    <t>ダイワ上場投信・TOPIX-17 素材・化学</t>
  </si>
  <si>
    <t>ダイワ上場投信・TOPIX-17 医薬品</t>
  </si>
  <si>
    <t>ダイワ上場投信・TOPIX-17 自動車・輸送機</t>
  </si>
  <si>
    <t>ダイワ上場投信・TOPIX-17 鉄鋼・非鉄</t>
  </si>
  <si>
    <t>ダイワ上場投信・TOPIX-17 機械</t>
  </si>
  <si>
    <t>ダイワ上場投信・TOPIX-17 電機・精密</t>
  </si>
  <si>
    <t>ダイワ上場投信・TOPIX-17 情報通信・サービスその他</t>
  </si>
  <si>
    <t>ダイワ上場投信・TOPIX-17 電力・ガス</t>
  </si>
  <si>
    <t>ダイワ上場投信・TOPIX-17 運輸・物流</t>
  </si>
  <si>
    <t>ダイワ上場投信・TOPIX-17 商社・卸売</t>
  </si>
  <si>
    <t>ダイワ上場投信・TOPIX-17 小売</t>
  </si>
  <si>
    <t>ダイワ上場投信・TOPIX-17 銀行</t>
  </si>
  <si>
    <t xml:space="preserve">ﾊﾞﾝｸﾞﾗﾃﾞｼｭ </t>
  </si>
  <si>
    <t xml:space="preserve">ﾀﾞｯｶ証取指数 </t>
  </si>
  <si>
    <t xml:space="preserve">ﾓﾝｺﾞﾙ </t>
  </si>
  <si>
    <t xml:space="preserve">ﾓﾝｺﾞﾙ ﾄｯﾌﾟ20指数 </t>
  </si>
  <si>
    <t>特別な表記が無い限り、日中足情報は少なくとも15分から20分は遅れて更新します。投資信託の基準価額は、1日の終わりに1回の更新となります。なお、時間は日本時間になります。</t>
  </si>
  <si>
    <t>アジア株式関連ニュース</t>
  </si>
  <si>
    <t>株式関連ニュース一覧</t>
  </si>
  <si>
    <t>﻿トップニュース</t>
  </si>
  <si>
    <t>今日の動き</t>
  </si>
  <si>
    <t>最新のマーケット情報を携帯でご覧いただけます。ぜひご利用ください。</t>
  </si>
  <si>
    <t>URLをケータイに送信</t>
  </si>
  <si>
    <t>ブルームバーグ携帯サイトについて</t>
  </si>
  <si>
    <t xml:space="preserve">ニュース </t>
  </si>
  <si>
    <t>日本（国内）ニュース | 海外ニュース | マーケットニュース | 経済指標 | 政治ニュース | コラム/特集</t>
  </si>
  <si>
    <t xml:space="preserve">マーケット情報 </t>
  </si>
  <si>
    <t>マーケット速報 | 株式 | 投資信託 | 外国為替 | 金利/債券 | 商品先物</t>
  </si>
  <si>
    <t xml:space="preserve">分析ツール </t>
  </si>
  <si>
    <t>銘柄検索 | マイ・ポートフォリオ | 為替レート計算 | 住宅ローン計算 | セカンドライフ資金計画 | 用語集</t>
  </si>
  <si>
    <t xml:space="preserve">ブルームバーグ･メディア </t>
  </si>
  <si>
    <t>モバイル | マーケットマガジン | ポッドキャスト | ブルームバーグプレス | ブルームバーグTV</t>
  </si>
  <si>
    <t>ブルームバーグについて | サイト マップ | ヘルプ | お問い合わせ | 広告掲載 | 採用情報 | ENGLISH SITE</t>
  </si>
  <si>
    <t>サービスの要項 | プライバシー保護方針 | 商標について</t>
  </si>
  <si>
    <t>このサイトのすべての内容に関する著作権は、ブルームバーグL.P.に帰属しています。データの無断掲載および無断転載は禁止しています。</t>
  </si>
  <si>
    <t xml:space="preserve">Bloomberg.co.jp </t>
  </si>
  <si>
    <t>マーケット情報</t>
  </si>
  <si>
    <t>ディー・エヌ・エー</t>
  </si>
  <si>
    <t>伊藤園</t>
  </si>
  <si>
    <t>エービーシー・マート</t>
  </si>
  <si>
    <t>コード</t>
  </si>
  <si>
    <t>社名</t>
  </si>
  <si>
    <t xml:space="preserve">Simple-X NYダウ・ジョーンズ・インデックス上場投信 </t>
  </si>
  <si>
    <t>Simple-X NYダウ・ジョーンズ・インデックス上場投信</t>
  </si>
  <si>
    <t>卸売業</t>
  </si>
  <si>
    <t>エディオン</t>
  </si>
  <si>
    <t>ハウス食品</t>
  </si>
  <si>
    <t>ニチレイ</t>
  </si>
  <si>
    <t>繊維製品</t>
  </si>
  <si>
    <t>グンゼ</t>
  </si>
  <si>
    <t>ＤＣＭ　Ｊａｐａｎホールディングス</t>
  </si>
  <si>
    <t>ドトール・日レスホールディングス</t>
  </si>
  <si>
    <t>マツモトキヨシホールディングス</t>
  </si>
  <si>
    <t>東洋紡績</t>
  </si>
  <si>
    <t>日東紡績</t>
  </si>
  <si>
    <t>ガラス・土石製品</t>
  </si>
  <si>
    <t>トヨタ紡織</t>
  </si>
  <si>
    <t>輸送用機器</t>
  </si>
  <si>
    <t>日本毛織</t>
  </si>
  <si>
    <t>サークルＫサンクス</t>
  </si>
  <si>
    <t>ツルハホールディングス</t>
  </si>
  <si>
    <t>化学</t>
  </si>
  <si>
    <t>金属製品</t>
  </si>
  <si>
    <t>DJ-UBSCI 穀物商品指数</t>
  </si>
  <si>
    <t>重み</t>
  </si>
  <si>
    <t>DJ-UBSCI 農産物商品指数</t>
  </si>
  <si>
    <t>DJ-UBSCI 農産物商品指数</t>
  </si>
  <si>
    <t>@  SUGAR #11 (WORLD) (USd/lb.)</t>
  </si>
  <si>
    <t>@  COTTON NO.2 FUTR (USd/lb.)</t>
  </si>
  <si>
    <t>@  COFFEE 'C' FUTURE (USd/lb.)</t>
  </si>
  <si>
    <t>亜鉛</t>
  </si>
  <si>
    <t>DJ-UBSCI 産業用金属商品指数</t>
  </si>
  <si>
    <t>DJ-UBSCI 産業用金属商品指数</t>
  </si>
  <si>
    <t>@  HEATING OIL FUTR (USd/gal.)</t>
  </si>
  <si>
    <t>ＩＴホールディングス</t>
  </si>
  <si>
    <t>JGB</t>
  </si>
  <si>
    <t>JGB-10Y</t>
  </si>
  <si>
    <t>^IEF-IV</t>
  </si>
  <si>
    <t>三菱製紙</t>
  </si>
  <si>
    <t>大王製紙</t>
  </si>
  <si>
    <t>クレハ</t>
  </si>
  <si>
    <t>日本曹達</t>
  </si>
  <si>
    <t>２月25日の海外株式・債券・為替・商品市場(Update2) (07:59)</t>
  </si>
  <si>
    <t>きょうの予定：物価・生産指数、古川講演、日航決算、米ＧＤＰ改定 (06:10)</t>
  </si>
  <si>
    <t>セントラル硝子</t>
  </si>
  <si>
    <t>東亞合成</t>
  </si>
  <si>
    <t>WGBI</t>
  </si>
  <si>
    <t>日本パーカライジング</t>
  </si>
  <si>
    <t>日本触媒</t>
  </si>
  <si>
    <t>東京応化工業</t>
  </si>
  <si>
    <t>住友ベークライト</t>
  </si>
  <si>
    <t>日本ゼオン</t>
  </si>
  <si>
    <t>アイカ工業</t>
  </si>
  <si>
    <t>ＡＤＥＫＡ</t>
  </si>
  <si>
    <t>日油</t>
  </si>
  <si>
    <t>科研製薬</t>
  </si>
  <si>
    <t>ロート製薬</t>
  </si>
  <si>
    <t>持田製薬</t>
  </si>
  <si>
    <t>キッセイ薬品工業</t>
  </si>
  <si>
    <t>キョーリン</t>
  </si>
  <si>
    <t>日本ペイント</t>
  </si>
  <si>
    <t>太陽インキ製造</t>
  </si>
  <si>
    <t>東洋インキ製造</t>
  </si>
  <si>
    <t>ダスキン</t>
  </si>
  <si>
    <t>パーク２４</t>
  </si>
  <si>
    <t>TOK-IV</t>
  </si>
  <si>
    <t>最新のEMER-INDEX以降の中国株の騰落率</t>
  </si>
  <si>
    <t>最新のKOKUSAI-INDEX以降のTOK-IVの騰落率</t>
  </si>
  <si>
    <t>リゾートトラスト</t>
  </si>
  <si>
    <t xml:space="preserve">上海/ｼﾝｾﾝ CSI300指数 </t>
  </si>
  <si>
    <t xml:space="preserve">中国 上海50指数 </t>
  </si>
  <si>
    <t xml:space="preserve">加権指数 </t>
  </si>
  <si>
    <t xml:space="preserve">韓国200種株価指数 </t>
  </si>
  <si>
    <t>オービック</t>
  </si>
  <si>
    <t>もしもしホットライン</t>
  </si>
  <si>
    <t>伊藤忠テクノソリューションズ</t>
  </si>
  <si>
    <t>7月の16日</t>
  </si>
  <si>
    <t>1・7月の16日</t>
  </si>
  <si>
    <t>なし</t>
  </si>
  <si>
    <t>なし</t>
  </si>
  <si>
    <t>使用禁止→↓</t>
  </si>
  <si>
    <t>率</t>
  </si>
  <si>
    <t>松井証券貸株代り金金利＝0.97%</t>
  </si>
  <si>
    <t>カルチュア・コンビニエンス・クラブ</t>
  </si>
  <si>
    <t>Updated: Tokyo  2010/02/26 12:21  |  New York  2010/02/25 22:21  |  London  2010/02/26 03:21</t>
  </si>
  <si>
    <t>スター運用者から酪農家へ－元ブラックロックのバーチ氏、人生の決断 (12:02)</t>
  </si>
  <si>
    <t>日本株小反発、鉱工業生産好調で自動車関連高い－警戒残り方向性欠く (11:59)</t>
  </si>
  <si>
    <t>アプラス：優先株約300億円買い戻し－普通株30億円も取得へ (11:40)</t>
  </si>
  <si>
    <t>日本株小反発、鉱工業生産好調で自動車関連高い－警戒残り方向性欠く (11:39)</t>
  </si>
  <si>
    <t>【売出債－確定】ＳＥＫが円建てＨ株指数連動債、３年‐日興コーデ (11:39)</t>
  </si>
  <si>
    <t>１月鉱工業生産指数は前月比2.5％上昇、事前予想の上限を超える伸びに (11:05)</t>
  </si>
  <si>
    <t>オバマ政権：住宅ローンの返済条件緩和審査受けない差し押さえ禁止も (07:23)</t>
  </si>
  <si>
    <t>円が対ユーロで１年ぶり高値圏、ギリシャ財政不安で121円台前半 (09:53)</t>
  </si>
  <si>
    <t>MXKO:IND</t>
  </si>
  <si>
    <t>MXEF:IND</t>
  </si>
  <si>
    <t>騰落率</t>
  </si>
  <si>
    <t>bloomberg</t>
  </si>
  <si>
    <t>大塚商会</t>
  </si>
  <si>
    <t>ライオン</t>
  </si>
  <si>
    <t>マンダム</t>
  </si>
  <si>
    <t>ファンケル</t>
  </si>
  <si>
    <t>コーセー</t>
  </si>
  <si>
    <t>横浜ゴム</t>
  </si>
  <si>
    <t>ゴム製品</t>
  </si>
  <si>
    <t>先物期限は毎月10日</t>
  </si>
  <si>
    <t>東洋ゴム工業</t>
  </si>
  <si>
    <t>東海ゴム工業</t>
  </si>
  <si>
    <t>住友大阪セメント</t>
  </si>
  <si>
    <t>東洋炭素</t>
  </si>
  <si>
    <t>鉄鋼</t>
  </si>
  <si>
    <t>淀川製鋼所</t>
  </si>
  <si>
    <t>丸一鋼管</t>
  </si>
  <si>
    <t>日本冶金工業</t>
  </si>
  <si>
    <t>山陽特殊製鋼</t>
  </si>
  <si>
    <t>愛知製鋼</t>
  </si>
  <si>
    <t>日本電工</t>
  </si>
  <si>
    <t>4:47AM EST</t>
  </si>
  <si>
    <t>日本軽金属</t>
  </si>
  <si>
    <t>非鉄金属</t>
  </si>
  <si>
    <t>古河機械金属</t>
  </si>
  <si>
    <t>WGBI</t>
  </si>
  <si>
    <t>http://www.nikkoam.com/products/hotnews/</t>
  </si>
  <si>
    <t>大阪チタニウムテクノロジーズ</t>
  </si>
  <si>
    <t>東邦チタニウム</t>
  </si>
  <si>
    <t>日立電線</t>
  </si>
  <si>
    <t>三和ホールディングス</t>
  </si>
  <si>
    <t>三浦工業</t>
  </si>
  <si>
    <t>富士機械製造</t>
  </si>
  <si>
    <t>牧野フライス製作所</t>
  </si>
  <si>
    <t>オーエスジー</t>
  </si>
  <si>
    <t>島精機製作所</t>
  </si>
  <si>
    <t>東洋エンジニアリング</t>
  </si>
  <si>
    <t>小森コーポレーション</t>
  </si>
  <si>
    <t>椿本チエイン</t>
  </si>
  <si>
    <t>ダイフク</t>
  </si>
  <si>
    <t>タダノ</t>
  </si>
  <si>
    <t>平和</t>
  </si>
  <si>
    <t>アマノ</t>
  </si>
  <si>
    <t>不二越</t>
  </si>
  <si>
    <t>日本トムソン</t>
  </si>
  <si>
    <t>明電舎</t>
  </si>
  <si>
    <t>日立工機</t>
  </si>
  <si>
    <t>東芝テック</t>
  </si>
  <si>
    <t>沖電気工業</t>
  </si>
  <si>
    <t>サンケン電気</t>
  </si>
  <si>
    <t>ＮＥＣエレクトロニクス</t>
  </si>
  <si>
    <t>ワコム</t>
  </si>
  <si>
    <t>アルバック</t>
  </si>
  <si>
    <t>日立国際電気</t>
  </si>
  <si>
    <t>ホシデン</t>
  </si>
  <si>
    <t>アルパイン</t>
  </si>
  <si>
    <t>船井電機</t>
  </si>
  <si>
    <t>日本光電工業</t>
  </si>
  <si>
    <t>堀場製作所</t>
  </si>
  <si>
    <t>日経225連動型上場投資信託</t>
  </si>
  <si>
    <t>TOPIX連動型上場投資信託</t>
  </si>
  <si>
    <t>TOPIX Core 30連動型上場投資信託</t>
  </si>
  <si>
    <t>東証電気機器株価指数連動型上場投資信託</t>
  </si>
  <si>
    <t>東証銀行業株価指数連動型上場投資信託</t>
  </si>
  <si>
    <t>ラッセル野村小型コア・インデックス連動型上場投資信託</t>
  </si>
  <si>
    <t>NEXT FUNDS 食品(TOPIX-17)上場投信</t>
  </si>
  <si>
    <t>NEXT FUNDS エネルギー資源(TOPIX-17)上場投信</t>
  </si>
  <si>
    <t>NEXT FUNDS 建設・資材(TOPIX-17)上場投信</t>
  </si>
  <si>
    <t>NEXT FUNDS 素材・化学(TOPIX-17)上場投信</t>
  </si>
  <si>
    <t>NEXT FUNDS医薬品(TOPIX-17)上場投信</t>
  </si>
  <si>
    <t>NEXT FUNDS 自動車・輸送機(TOPIX-17)上場投信</t>
  </si>
  <si>
    <t>NEXT FUNDS 鉄鋼・非鉄(TOPIX-17)上場投信</t>
  </si>
  <si>
    <t>NEXT FUNDS 機械(TOPIX-17)上場投信</t>
  </si>
  <si>
    <t>NEXT FUNDS 電機・精密(TOPIX-17)上場投信</t>
  </si>
  <si>
    <t>NEXT FUNDS 情報通信・サービスその他(TOPIX-17)上場投信</t>
  </si>
  <si>
    <t>NEXT FUNDS 電力・ガス(TOPIX-17)上場投信</t>
  </si>
  <si>
    <t>NEXT FUNDS 運輸・物流(TOPIX-17)上場投信</t>
  </si>
  <si>
    <t>NEXT FUNDS 商社・卸売(TOPIX-17)上場投信</t>
  </si>
  <si>
    <t>NEXT FUNDS 小売(TOPIX-17)上場投信</t>
  </si>
  <si>
    <t>NEXT FUNDS 金融(除く銀行)(TOPIX-17)上場投信</t>
  </si>
  <si>
    <t>NEXT FUNDS 不動産(TOPIX-17)上場投信</t>
  </si>
  <si>
    <t>NEXT FUNDS 東証REIT指数連動型上場投信</t>
  </si>
  <si>
    <t>双葉電子工業</t>
  </si>
  <si>
    <t>DFC-NUM</t>
  </si>
  <si>
    <t>純資産総額</t>
  </si>
  <si>
    <t>東海理化電機製作所</t>
  </si>
  <si>
    <t>ニチコン</t>
  </si>
  <si>
    <t>日立造船</t>
  </si>
  <si>
    <t>日野自動車</t>
  </si>
  <si>
    <t>日産車体</t>
  </si>
  <si>
    <t>日信工業</t>
  </si>
  <si>
    <t>TAIEX</t>
  </si>
  <si>
    <t>日経・東工取白金指数</t>
  </si>
  <si>
    <t>http://www.bloomberg.com/apps/quote?ticker=SSE50%3AIND</t>
  </si>
  <si>
    <t>ケーヒン</t>
  </si>
  <si>
    <t>エフ・シー・シー</t>
  </si>
  <si>
    <t>タカタ</t>
  </si>
  <si>
    <t>対象指標とする限月の切替は、新甫発会日の翌月の最初の営業日とします/奇数月の最初の営業日</t>
  </si>
  <si>
    <t>基準価額あたりの口数</t>
  </si>
  <si>
    <t>口数増減</t>
  </si>
  <si>
    <t>ユニット数</t>
  </si>
  <si>
    <t>解約数</t>
  </si>
  <si>
    <t>ユニット増減</t>
  </si>
  <si>
    <t>ネットワンシステムズ</t>
  </si>
  <si>
    <t>スター精密</t>
  </si>
  <si>
    <t>東京精密</t>
  </si>
  <si>
    <t>大日本スクリーン製造</t>
  </si>
  <si>
    <t>キヤノン電子</t>
  </si>
  <si>
    <t>その他製品</t>
  </si>
  <si>
    <t>トッパン・フォームズ</t>
  </si>
  <si>
    <t>リンテック</t>
  </si>
  <si>
    <t>コクヨ</t>
  </si>
  <si>
    <t>ニフコ</t>
  </si>
  <si>
    <t>三陽商会</t>
  </si>
  <si>
    <t>長瀬産業</t>
  </si>
  <si>
    <t>オンワードホールディングス</t>
  </si>
  <si>
    <t>日本ユニシス</t>
  </si>
  <si>
    <t>キヤノンマーケティングジャパン</t>
  </si>
  <si>
    <t>阪和興業</t>
  </si>
  <si>
    <t>ニプロ</t>
  </si>
  <si>
    <t>岩谷産業</t>
  </si>
  <si>
    <t>東京スタイル</t>
  </si>
  <si>
    <t>サンゲツ</t>
  </si>
  <si>
    <t>リョーサン</t>
  </si>
  <si>
    <t>コメリ</t>
  </si>
  <si>
    <t>青山商事</t>
  </si>
  <si>
    <t>エイチ・ツー・オー　リテイリング</t>
  </si>
  <si>
    <t>パルコ</t>
  </si>
  <si>
    <t>イズミ</t>
  </si>
  <si>
    <t>ゼビオ</t>
  </si>
  <si>
    <t>銀行業</t>
  </si>
  <si>
    <t>第四銀行</t>
  </si>
  <si>
    <t>武蔵野銀行</t>
  </si>
  <si>
    <t>東京都民銀行</t>
  </si>
  <si>
    <t>青森銀行</t>
  </si>
  <si>
    <t>秋田銀行</t>
  </si>
  <si>
    <t>山形銀行</t>
  </si>
  <si>
    <t>岩手銀行</t>
  </si>
  <si>
    <t>東邦銀行</t>
  </si>
  <si>
    <t>十六銀行</t>
  </si>
  <si>
    <t>山梨中央銀行</t>
  </si>
  <si>
    <t>福井銀行</t>
  </si>
  <si>
    <t>北國銀行</t>
  </si>
  <si>
    <t>南都銀行</t>
  </si>
  <si>
    <t>百十四銀行</t>
  </si>
  <si>
    <t>四国銀行</t>
  </si>
  <si>
    <t>鹿児島銀行</t>
  </si>
  <si>
    <t>大分銀行</t>
  </si>
  <si>
    <t>肥後銀行</t>
  </si>
  <si>
    <t>Last Trade:</t>
  </si>
  <si>
    <t>Trade Time:</t>
  </si>
  <si>
    <t>Change:</t>
  </si>
  <si>
    <t>Prev Close:</t>
  </si>
  <si>
    <t>Open:</t>
  </si>
  <si>
    <t>Day's Range:</t>
  </si>
  <si>
    <t>52wk Range:</t>
  </si>
  <si>
    <t>Bid:</t>
  </si>
  <si>
    <t>Ask:</t>
  </si>
  <si>
    <t>ADVERTISEMENT</t>
  </si>
  <si>
    <t>12:05pm ET</t>
  </si>
  <si>
    <t>Down 0.0139 (1.02%)</t>
  </si>
  <si>
    <t>1.3586 - 1.3736</t>
  </si>
  <si>
    <t>1.2886 - 1.5144</t>
  </si>
  <si>
    <t>東証1部</t>
  </si>
  <si>
    <t>大証1部</t>
  </si>
  <si>
    <t>マザーズ</t>
  </si>
  <si>
    <t>大証2部</t>
  </si>
  <si>
    <t>名証1部</t>
  </si>
  <si>
    <t>JASDAQ</t>
  </si>
  <si>
    <t>東証2部</t>
  </si>
  <si>
    <t>東証1部</t>
  </si>
  <si>
    <t>東レ</t>
  </si>
  <si>
    <t>旭化成</t>
  </si>
  <si>
    <t>昭和電工</t>
  </si>
  <si>
    <t>大陽日酸</t>
  </si>
  <si>
    <t>三菱ケミカルホールディングス</t>
  </si>
  <si>
    <t>東燃ゼネラル石油</t>
  </si>
  <si>
    <t>出光興産</t>
  </si>
  <si>
    <t>太平洋セメント</t>
  </si>
  <si>
    <t>日本ガイシ</t>
  </si>
  <si>
    <t>日本製鋼所</t>
  </si>
  <si>
    <t>ＤＯＷＡホールディングス</t>
  </si>
  <si>
    <t>古河電気工業</t>
  </si>
  <si>
    <t>住友電気工業</t>
  </si>
  <si>
    <t>荏原</t>
  </si>
  <si>
    <t>栗田工業</t>
  </si>
  <si>
    <t>日立製作所</t>
  </si>
  <si>
    <t>東芝</t>
  </si>
  <si>
    <t>三菱電機</t>
  </si>
  <si>
    <t>大証1部</t>
  </si>
  <si>
    <t>オムロン</t>
  </si>
  <si>
    <t>日本信号</t>
  </si>
  <si>
    <t>パナソニック</t>
  </si>
  <si>
    <t>シャープ</t>
  </si>
  <si>
    <t>ソニー</t>
  </si>
  <si>
    <t>スタンレー電気</t>
  </si>
  <si>
    <t>京セラ</t>
  </si>
  <si>
    <t>日東電工</t>
  </si>
  <si>
    <t>パナソニック電工</t>
  </si>
  <si>
    <t>三菱重工業</t>
  </si>
  <si>
    <t>川崎重工業</t>
  </si>
  <si>
    <t>トヨタ自動車</t>
  </si>
  <si>
    <t>三菱自動車</t>
  </si>
  <si>
    <t>ホンダ</t>
  </si>
  <si>
    <t>大日本印刷</t>
  </si>
  <si>
    <t>Ｊ－ＰＯＷＥＲ</t>
  </si>
  <si>
    <t>ピーエス三菱</t>
  </si>
  <si>
    <t>キリンホールディングス</t>
  </si>
  <si>
    <t>三菱レイヨン</t>
  </si>
  <si>
    <t>三菱製紙</t>
  </si>
  <si>
    <t>三菱ガス化学</t>
  </si>
  <si>
    <t>三菱ケミカルホールディングス</t>
  </si>
  <si>
    <t>大日本塗料</t>
  </si>
  <si>
    <t>新日本石油</t>
  </si>
  <si>
    <t>旭硝子</t>
  </si>
  <si>
    <t>三菱製鋼</t>
  </si>
  <si>
    <t>三菱マテリアル</t>
  </si>
  <si>
    <t>三菱化工機</t>
  </si>
  <si>
    <t>東洋製作所</t>
  </si>
  <si>
    <t>三菱電機</t>
  </si>
  <si>
    <t>三菱重工業</t>
  </si>
  <si>
    <t>三菱自動車</t>
  </si>
  <si>
    <t>菱食</t>
  </si>
  <si>
    <t>ニコン</t>
  </si>
  <si>
    <t>三菱商事</t>
  </si>
  <si>
    <t>三菱ＵＦＪフィナンシャル・グループ</t>
  </si>
  <si>
    <t>三菱ＵＦＪリース</t>
  </si>
  <si>
    <t>東京海上ホールディングス</t>
  </si>
  <si>
    <t>三菱地所</t>
  </si>
  <si>
    <t>日本郵船</t>
  </si>
  <si>
    <t>三菱倉庫</t>
  </si>
  <si>
    <t>現在の取引状況: [更新時間: 2010年03月18日 23時25分] [セッション: 夜間] [状況: 立会終了]</t>
  </si>
  <si>
    <t>【日中取引】 立会終了</t>
  </si>
  <si>
    <t>取引日:2010年03月19日</t>
  </si>
  <si>
    <t>十八銀行</t>
  </si>
  <si>
    <t>沖縄銀行</t>
  </si>
  <si>
    <t>紀陽ホールディングス</t>
  </si>
  <si>
    <t>日本証券金融</t>
  </si>
  <si>
    <t>名古屋銀行</t>
  </si>
  <si>
    <t>愛知銀行</t>
  </si>
  <si>
    <t>愛媛銀行</t>
  </si>
  <si>
    <t>京葉銀行</t>
  </si>
  <si>
    <t>栃木銀行</t>
  </si>
  <si>
    <t>1/4 3202.17 1122(円/オンス)÷31.1035(グラム/オンス)×(1-4.56%)＝3175円 ←1328.Oの推定NAV</t>
  </si>
  <si>
    <t>上場インデックスファンド中国Ａ株（パンダ）CSI300</t>
  </si>
  <si>
    <t>上海株式指数・上証50連動型上場投資信託</t>
  </si>
  <si>
    <t>ブラジルETF対応</t>
  </si>
  <si>
    <t>INR/JPY</t>
  </si>
  <si>
    <t>RUB/JPY</t>
  </si>
  <si>
    <t>---------壁-----------</t>
  </si>
  <si>
    <t>上場インデックスファンドＪリート（東証ＲＥＩＴ指数）隔月分配型</t>
  </si>
  <si>
    <t>上場インデックスファンドＦＴＳＥ日本グリーンチップ35</t>
  </si>
  <si>
    <t>XAUJPY=X</t>
  </si>
  <si>
    <t>前日比</t>
  </si>
  <si>
    <t>NIKKEI-IR</t>
  </si>
  <si>
    <t>東証REIT指数</t>
  </si>
  <si>
    <t>NEXT FUNDS 東証REIT指数連動型上場投信</t>
  </si>
  <si>
    <t>RTS</t>
  </si>
  <si>
    <t>http://sgxnifty.in/</t>
  </si>
  <si>
    <t>南アフリカ株式・ロシア株式ETF対応</t>
  </si>
  <si>
    <t>↓基準価額と指数の乖離率</t>
  </si>
  <si>
    <t>↑基準価額と指数の乖離率</t>
  </si>
  <si>
    <t>リンク</t>
  </si>
  <si>
    <t>予想分配落ち</t>
  </si>
  <si>
    <t>ベンチマーク指数</t>
  </si>
  <si>
    <t>三菱UFJ</t>
  </si>
  <si>
    <t>基準価額</t>
  </si>
  <si>
    <t>騰落率(一部配当込)</t>
  </si>
  <si>
    <t>予想配当額</t>
  </si>
  <si>
    <t>予想配当額</t>
  </si>
  <si>
    <t xml:space="preserve">Simple-X NYダウ・ジョーンズ・インデックス上場投信 </t>
  </si>
  <si>
    <t xml:space="preserve">Simple-X NYダウ・ジョーンズ・インデックス上場投信 </t>
  </si>
  <si>
    <t>指数取得</t>
  </si>
  <si>
    <t>日経225</t>
  </si>
  <si>
    <t>TOPIX Core 30</t>
  </si>
  <si>
    <t>東証REIT指数</t>
  </si>
  <si>
    <t>ＮＥＸＴ ＦＵＮＤＳ 東証REIT指数連動型上場投信</t>
  </si>
  <si>
    <t>予想分配落ち</t>
  </si>
  <si>
    <t>分配落ち</t>
  </si>
  <si>
    <t>DJ-UBSCI エネルギー商品指数</t>
  </si>
  <si>
    <t>DJ-UBSCI エネルギー商品指数</t>
  </si>
  <si>
    <t>ＮＥＸＴ ＦＵＮＤＳ 南アフリカ株式指数・ＦＴＳＥ/ＪＳＥ Ａｆｒｉｃａ Ｔｏｐ40連動型上場投信</t>
  </si>
  <si>
    <t>ＮＥＸＴ ＦＵＮＤＳ ロシア株式指数・ＲＴＳ連動型上場投信</t>
  </si>
  <si>
    <t>ＮＥＸＴ ＦＵＮＤＳ インド通貨ルピー連動型上場投信</t>
  </si>
  <si>
    <t>■配当落ち・分配落ち(まれに更新)</t>
  </si>
  <si>
    <t>ＮＥＸＴ ＦＵＮＤＳ ブラジル通貨レアル連動型上場投信</t>
  </si>
  <si>
    <t>ＮＥＸＴ ＦＵＮＤＳ ロシア通貨ルーブル連動型上場投信</t>
  </si>
  <si>
    <t>メモ</t>
  </si>
  <si>
    <t>基準価額日付</t>
  </si>
  <si>
    <t>Cash</t>
  </si>
  <si>
    <t>-</t>
  </si>
  <si>
    <t>ＮＥＸＴ ＦＵＮＤＳ ブラジル株式指数・ボベスパ連動型上場投信</t>
  </si>
  <si>
    <t>ＮＥＸＴ ＦＵＮＤＳ ブラジル株式指数・ボベスパ連動型上場投信</t>
  </si>
  <si>
    <t xml:space="preserve">ＮＥＸＴ ＦＵＮＤＳ ブラジル株式指数・ボベスパ連動型上場投信 </t>
  </si>
  <si>
    <t>月曜日の朝１０時ごろまでは、為替が更新されないようです。</t>
  </si>
  <si>
    <t>ＮＥＸＴ ＦＵＮＤＳ 南アフリカ株式指数・ＦＴＳＥ/ＪＳＥ Ａｆｒｉｃａ Ｔｏｐ40連動型上場投信</t>
  </si>
  <si>
    <t>ＮＥＸＴ ＦＵＮＤＳ ロシア株式指数・ＲＴＳ連動型上場投信</t>
  </si>
  <si>
    <t>ＫＯＤＥＸ200上場指数投資信託</t>
  </si>
  <si>
    <t>金価格連動型上場投資信託</t>
  </si>
  <si>
    <t>JST</t>
  </si>
  <si>
    <t>F</t>
  </si>
  <si>
    <r>
      <t>世界株式先物</t>
    </r>
    <r>
      <rPr>
        <sz val="11"/>
        <rFont val="Arial"/>
        <family val="2"/>
      </rPr>
      <t>@Bloomberg</t>
    </r>
  </si>
  <si>
    <t>「上場インデックスファンド海外先進国株式」のポートフォリオを反映</t>
  </si>
  <si>
    <r>
      <t>欧州アフリカ株式指数</t>
    </r>
    <r>
      <rPr>
        <sz val="11"/>
        <rFont val="Arial"/>
        <family val="2"/>
      </rPr>
      <t>@Bloomberg</t>
    </r>
  </si>
  <si>
    <t>@STXE 600 € Pr</t>
  </si>
  <si>
    <t>@DJIA INDEX</t>
  </si>
  <si>
    <t>@S&amp;P 500</t>
  </si>
  <si>
    <t>@S&amp;P/TSX 60</t>
  </si>
  <si>
    <t>@DJ EURO STOXX 50</t>
  </si>
  <si>
    <t>@HANG SENG</t>
  </si>
  <si>
    <t>@SPI 200</t>
  </si>
  <si>
    <t>http://blog.ispace.co.jp/modules/pukiwiki/67.html</t>
  </si>
  <si>
    <t>ET</t>
  </si>
  <si>
    <t>開始日</t>
  </si>
  <si>
    <t>開始日</t>
  </si>
  <si>
    <t>終了日</t>
  </si>
  <si>
    <t>終了日</t>
  </si>
  <si>
    <t>シート名</t>
  </si>
  <si>
    <t>シート名</t>
  </si>
  <si>
    <t>行</t>
  </si>
  <si>
    <t>行</t>
  </si>
  <si>
    <t>列</t>
  </si>
  <si>
    <t>列</t>
  </si>
  <si>
    <t>パラメータ1</t>
  </si>
  <si>
    <t>パラメータ1</t>
  </si>
  <si>
    <t>パラメータ2</t>
  </si>
  <si>
    <t>パラメータ2</t>
  </si>
  <si>
    <t>RNSC銘柄入替</t>
  </si>
  <si>
    <t>DJIA-Spot</t>
  </si>
  <si>
    <t>Diff=Spot-Future</t>
  </si>
  <si>
    <t>HANGSENG INDEX</t>
  </si>
  <si>
    <t>SP500</t>
  </si>
  <si>
    <t>S&amp;P/TSX 60</t>
  </si>
  <si>
    <t>http://quotes.jp/libor/?c=usd</t>
  </si>
  <si>
    <t>MSCI SING INDEX</t>
  </si>
  <si>
    <t>USD/HKD-FOREX</t>
  </si>
  <si>
    <t>USD/SGD-FOREX</t>
  </si>
  <si>
    <t>RNSC時価取得はエクセル2000で不可（ヤフー側の動作変更のため）</t>
  </si>
  <si>
    <t>エクセル2003でヤフー側の動作変更に対応</t>
  </si>
  <si>
    <t>ヤフーファイナンスからの取得処理を大幅変更し、再度エクセル2000対応</t>
  </si>
  <si>
    <t>未定</t>
  </si>
  <si>
    <t>基準価額翌営業日の変動</t>
  </si>
  <si>
    <t>本シートはエクセル 2003において動作確認しております。</t>
  </si>
  <si>
    <t>株価指数名称の権利等は、関係各社が保有しています。</t>
  </si>
  <si>
    <t>上場インデックスＪリート隔月</t>
  </si>
  <si>
    <t>GSCI</t>
  </si>
  <si>
    <t>DJ-UBSCI 穀物商品指数</t>
  </si>
  <si>
    <t xml:space="preserve">Classes of Micro Security </t>
  </si>
  <si>
    <t>Number of Micro Securities in each Index Security on January 15, 2010</t>
  </si>
  <si>
    <t xml:space="preserve">These are the numbers until the next rebalancing (scheduled for January 2011) </t>
  </si>
  <si>
    <t xml:space="preserve">All Commodities </t>
  </si>
  <si>
    <t xml:space="preserve">Energy </t>
  </si>
  <si>
    <t>NatGas</t>
  </si>
  <si>
    <t xml:space="preserve">Petroleum </t>
  </si>
  <si>
    <t>Crude Oil</t>
  </si>
  <si>
    <t>Gasoline</t>
  </si>
  <si>
    <t>Heating Oil</t>
  </si>
  <si>
    <t xml:space="preserve">Ex-Energy </t>
  </si>
  <si>
    <t xml:space="preserve">Industrial Metals </t>
  </si>
  <si>
    <t>Aluminum</t>
  </si>
  <si>
    <t>Copper</t>
  </si>
  <si>
    <t>Zinc</t>
  </si>
  <si>
    <t>Nickel</t>
  </si>
  <si>
    <t xml:space="preserve">Precious Metals </t>
  </si>
  <si>
    <t>Gold</t>
  </si>
  <si>
    <t>Silver</t>
  </si>
  <si>
    <t xml:space="preserve">Livestock </t>
  </si>
  <si>
    <t>Live Cattle</t>
  </si>
  <si>
    <t>Lean Hogs</t>
  </si>
  <si>
    <t xml:space="preserve">Agriculture </t>
  </si>
  <si>
    <t xml:space="preserve">Grains </t>
  </si>
  <si>
    <t>Wheat</t>
  </si>
  <si>
    <t>Corn</t>
  </si>
  <si>
    <t>Soybeans</t>
  </si>
  <si>
    <t xml:space="preserve">Softs </t>
  </si>
  <si>
    <t>Sugar</t>
  </si>
  <si>
    <t>Cotton</t>
  </si>
  <si>
    <t>Coffee</t>
  </si>
  <si>
    <t>Soybean Oil</t>
  </si>
  <si>
    <t>乖離率</t>
  </si>
  <si>
    <t>日本の取引所の取引時間帯は商品指数の更新は行われないようですので、ご注意ください。17:15ごろから更新されます</t>
  </si>
  <si>
    <t>サカタのタネ</t>
  </si>
  <si>
    <t>ホクト</t>
  </si>
  <si>
    <t>ショーボンドホールディングス</t>
  </si>
  <si>
    <t>LIBOR</t>
  </si>
  <si>
    <t>長谷工コーポレーション</t>
  </si>
  <si>
    <t>パナホーム</t>
  </si>
  <si>
    <t>東芝プラントシステム</t>
  </si>
  <si>
    <t>日本製粉</t>
  </si>
  <si>
    <t>ユニ・チャーム　ペットケア</t>
  </si>
  <si>
    <t>カカクコム</t>
  </si>
  <si>
    <t>日清オイリオグループ</t>
  </si>
  <si>
    <t>不二製油</t>
  </si>
  <si>
    <t>ホギメディカル</t>
  </si>
  <si>
    <t>日本新薬</t>
  </si>
  <si>
    <t>日医工</t>
  </si>
  <si>
    <t>沢井製薬</t>
  </si>
  <si>
    <t>ＤＩＣ</t>
  </si>
  <si>
    <t>指数変化</t>
  </si>
  <si>
    <t>Opend</t>
  </si>
  <si>
    <t>TIME</t>
  </si>
  <si>
    <t>サイバーエージェント</t>
  </si>
  <si>
    <t>アース製薬</t>
  </si>
  <si>
    <t>太平洋セメント</t>
  </si>
  <si>
    <t>東海カーボン</t>
  </si>
  <si>
    <t>日新製鋼</t>
  </si>
  <si>
    <t>大同特殊鋼</t>
  </si>
  <si>
    <t>長府製作所</t>
  </si>
  <si>
    <t>オークマ</t>
  </si>
  <si>
    <t>森精機製作所</t>
  </si>
  <si>
    <t>マックス</t>
  </si>
  <si>
    <t>富士電機ホールディングス</t>
  </si>
  <si>
    <t>アルプス電気</t>
  </si>
  <si>
    <t>パイオニア</t>
  </si>
  <si>
    <t>トヨタ車体</t>
  </si>
  <si>
    <t>第一興商</t>
  </si>
  <si>
    <t>ワタミ</t>
  </si>
  <si>
    <t>西松屋チェーン</t>
  </si>
  <si>
    <t>サイゼリヤ</t>
  </si>
  <si>
    <t>スギホールディングス</t>
  </si>
  <si>
    <t>タカラトミー</t>
  </si>
  <si>
    <t>エフピコ</t>
  </si>
  <si>
    <t>ピジョン</t>
  </si>
  <si>
    <t>イズミヤ</t>
  </si>
  <si>
    <t>あおぞら銀行</t>
  </si>
  <si>
    <t>北越銀行</t>
  </si>
  <si>
    <t>三重銀行</t>
  </si>
  <si>
    <t>宮崎銀行</t>
  </si>
  <si>
    <t>八千代銀行</t>
  </si>
  <si>
    <t>第三銀行</t>
  </si>
  <si>
    <t>中京銀行</t>
  </si>
  <si>
    <t>細かな修正（googleDocの日付文字列解釈が変わった？）</t>
  </si>
  <si>
    <t>武富士</t>
  </si>
  <si>
    <t>日立キャピタル</t>
  </si>
  <si>
    <t>岡三証券グループ</t>
  </si>
  <si>
    <t>マネックスグループ</t>
  </si>
  <si>
    <t>レオパレス２１</t>
  </si>
  <si>
    <t>日本梱包運輸倉庫</t>
  </si>
  <si>
    <t>日立物流</t>
  </si>
  <si>
    <t>基準日時</t>
  </si>
  <si>
    <t>スカパーＪＳＡＴホールディングス</t>
  </si>
  <si>
    <t>ＣＳＫホールディングス</t>
  </si>
  <si>
    <t>RNSCの構成銘柄修正</t>
  </si>
  <si>
    <t>ダイワ上場投信・TOPIX-17 食品</t>
  </si>
  <si>
    <t>ダイワ上場投信・TOPIX-17 エネルギー資源</t>
  </si>
  <si>
    <t>ダイワ上場投信・TOPIX-17 建設・資材</t>
  </si>
  <si>
    <t>ダイワ上場投信・TOPIX-17 素材・化学</t>
  </si>
  <si>
    <t>ダイワ上場投信・TOPIX-17 医薬品</t>
  </si>
  <si>
    <t>ダイワ上場投信・TOPIX-17 自動車・輸送機</t>
  </si>
  <si>
    <t>ダイワ上場投信・TOPIX-17 鉄鋼・非鉄</t>
  </si>
  <si>
    <t>ダイワ上場投信・TOPIX-17 機械</t>
  </si>
  <si>
    <t>ダイワ上場投信・TOPIX-17 電機・精密</t>
  </si>
  <si>
    <t>ダイワ上場投信・TOPIX-17 情報通信・サービスその他</t>
  </si>
  <si>
    <t>ダイワ上場投信・TOPIX-17 電力・ガス</t>
  </si>
  <si>
    <t>ダイワ上場投信・TOPIX-17 運輸・物流</t>
  </si>
  <si>
    <t>ダイワ上場投信・TOPIX-17 商社・卸売</t>
  </si>
  <si>
    <t>ダイワ上場投信・TOPIX-17 小売</t>
  </si>
  <si>
    <t>ダイワ上場投信・TOPIX-17 銀行</t>
  </si>
  <si>
    <t>ダイワ上場投信・TOPIX-17 金融（除く銀行）</t>
  </si>
  <si>
    <t>ダイワ上場投信・TOPIX-17 不動産</t>
  </si>
  <si>
    <t>ヤフーファイナンスリニューアル対応</t>
  </si>
  <si>
    <t xml:space="preserve">上場インデックスＪリート隔月 </t>
  </si>
  <si>
    <t>KODEX200のNAVの取得先修正</t>
  </si>
  <si>
    <t>KODEX</t>
  </si>
  <si>
    <r>
      <t>なお、</t>
    </r>
    <r>
      <rPr>
        <b/>
        <sz val="11"/>
        <rFont val="ＭＳ Ｐゴシック"/>
        <family val="3"/>
      </rPr>
      <t>権利落ちは一部を除いて考慮していません</t>
    </r>
    <r>
      <rPr>
        <sz val="11"/>
        <rFont val="ＭＳ Ｐゴシック"/>
        <family val="3"/>
      </rPr>
      <t>ので、ご注意ください。</t>
    </r>
  </si>
  <si>
    <t>上場インデックス２２５</t>
  </si>
  <si>
    <t>上場インデックスＴＯＰＩＸ</t>
  </si>
  <si>
    <t>上場インデックスＳ＆Ｐ新興株</t>
  </si>
  <si>
    <t>上場ＴＰＸ１００大型</t>
  </si>
  <si>
    <t>上場ＴＰＸ Ｍｉｄ４００中型</t>
  </si>
  <si>
    <t>上場ＴＰＸ Ｓｍａｌｌ小型</t>
  </si>
  <si>
    <t>ＭＡＸＩＳ トピックス・コア３０上場投信</t>
  </si>
  <si>
    <t>ＭＡＸＩＳ 日経２２５上場投信</t>
  </si>
  <si>
    <t>ＭＡＸＩＳ トピックス上場投信</t>
  </si>
  <si>
    <t>ｉシェアーズ日経２２５</t>
  </si>
  <si>
    <t>1月/7月20日</t>
  </si>
  <si>
    <t>Version</t>
  </si>
  <si>
    <t>最新バージョン</t>
  </si>
  <si>
    <t>TOPIX Core 30連動型上場投資信託</t>
  </si>
  <si>
    <t>東証電気機器株価指数連動型上場投資信託</t>
  </si>
  <si>
    <t>東証銀行業株価指数連動型上場投資信託</t>
  </si>
  <si>
    <t>ラッセル野村小型コア・インデックス連動型上場投資信託</t>
  </si>
  <si>
    <t>NEXT FUNDS 食品(TOPIX-17)上場投信</t>
  </si>
  <si>
    <t>NEXT FUNDS エネルギー資源(TOPIX-17)上場投信</t>
  </si>
  <si>
    <t>NEXT FUNDS 建設・資材(TOPIX-17)上場投信</t>
  </si>
  <si>
    <t>NEXT FUNDS 素材・化学(TOPIX-17)上場投信</t>
  </si>
  <si>
    <t>NEXT FUNDS医薬品(TOPIX-17)上場投信</t>
  </si>
  <si>
    <t>NEXT FUNDS 自動車・輸送機(TOPIX-17)上場投信</t>
  </si>
  <si>
    <t>NEXT FUNDS 鉄鋼・非鉄(TOPIX-17)上場投信</t>
  </si>
  <si>
    <t>NEXT FUNDS 機械(TOPIX-17)上場投信</t>
  </si>
  <si>
    <t>NEXT FUNDS 電機・精密(TOPIX-17)上場投信</t>
  </si>
  <si>
    <t>アジア太平洋株式bloomberg</t>
  </si>
  <si>
    <t>株式</t>
  </si>
  <si>
    <t>外国為替</t>
  </si>
  <si>
    <t>投資信託</t>
  </si>
  <si>
    <t>株式ランキング</t>
  </si>
  <si>
    <t>NEXT FUNDS 情報通信・サービスその他(TOPIX-17)上場投信</t>
  </si>
  <si>
    <t>NEXT FUNDS 電力・ガス(TOPIX-17)上場投信</t>
  </si>
  <si>
    <t>NEXT FUNDS 運輸・物流(TOPIX-17)上場投信</t>
  </si>
  <si>
    <t>NEXT FUNDS 商社・卸売(TOPIX-17)上場投信</t>
  </si>
  <si>
    <t>NEXT FUNDS 小売(TOPIX-17)上場投信</t>
  </si>
  <si>
    <t>NEXT FUNDS 銀行(TOPIX-17)上場投信</t>
  </si>
  <si>
    <t>NEXT FUNDS 金融(除く銀行)(TOPIX-17)上場投信</t>
  </si>
  <si>
    <t>NEXT FUNDS 不動産(TOPIX-17)上場投信</t>
  </si>
  <si>
    <t>日経300株価指数連動型上場投資信託</t>
  </si>
  <si>
    <t>TOPIX連動型上場投資信託</t>
  </si>
  <si>
    <t>ダイワ上場投信－トピックス</t>
  </si>
  <si>
    <t>ダイワ上場投信－日経２２５</t>
  </si>
  <si>
    <t>ダイワ上場投信－トピックス・コア30</t>
  </si>
  <si>
    <t>ダイワ上場投信－東証電気機器株価指数</t>
  </si>
  <si>
    <t>ＷＴＩ原油価格連動型上場投信</t>
  </si>
  <si>
    <t>ダイワ上場投信－東証銀行業株価指数</t>
  </si>
  <si>
    <t>Version</t>
  </si>
  <si>
    <t>最新バージョン</t>
  </si>
  <si>
    <t>現在バージョン</t>
  </si>
  <si>
    <t>野村AMのヘージ変更に対応、バージョンアップお知らせ</t>
  </si>
  <si>
    <t>純資産総額</t>
  </si>
  <si>
    <t>日経225連動型上場投資信託</t>
  </si>
  <si>
    <t>検索結果</t>
  </si>
  <si>
    <t>現在の並び順： 投資信託名 昇順</t>
  </si>
  <si>
    <t>現在の分類： NEXT FUNDS 野村アセットマネジメントが運用するETF ※新規設定後3年、1年に満たない投資信託の騰落率は、「なし」が表示されます。</t>
  </si>
  <si>
    <t xml:space="preserve">検索結果： 33 件 表示 1から33 件  1 </t>
  </si>
  <si>
    <t>投資信託名</t>
  </si>
  <si>
    <t>投資信託名で並び替え投資信託名で並び替え</t>
  </si>
  <si>
    <t>（前日比）</t>
  </si>
  <si>
    <t>基準価額で並び替え基準価額で並び替え</t>
  </si>
  <si>
    <t>前日との比較</t>
  </si>
  <si>
    <t>前日との比較で並び替え前日との比較で並び替え</t>
  </si>
  <si>
    <t>1年前との比較</t>
  </si>
  <si>
    <t>1年前との比較で並び替え1年前との比較で並び替え</t>
  </si>
  <si>
    <t>3年前との比較</t>
  </si>
  <si>
    <t>9:00-14:30, 15:15-</t>
  </si>
  <si>
    <t>3年前との比較で並び替え3年前との比較で並び替え</t>
  </si>
  <si>
    <t>純資産総額で並び替え</t>
  </si>
  <si>
    <t>分配金回数（予定）</t>
  </si>
  <si>
    <t>上海株式指数・上証50連動型上場投資信託</t>
  </si>
  <si>
    <t>分配金回数で並び替え</t>
  </si>
  <si>
    <t>前回分配金（実績）</t>
  </si>
  <si>
    <t>前回分配金で並び替え</t>
  </si>
  <si>
    <t>1,</t>
  </si>
  <si>
    <t xml:space="preserve">新しいウィンドウ金価格連動型上場投資信託 </t>
  </si>
  <si>
    <t>NEXT FUNDS</t>
  </si>
  <si>
    <t>チャート（新しいウィンドウ）販売会社（新しいウィンドウ）月次レポート(新しいウィンドウ)</t>
  </si>
  <si>
    <t>なし</t>
  </si>
  <si>
    <t>年1回</t>
  </si>
  <si>
    <t>（新しいウィンドウ）0円</t>
  </si>
  <si>
    <t>2,</t>
  </si>
  <si>
    <t xml:space="preserve">新しいウィンドウ上海株式指数・上証50連動型上場投資信託 </t>
  </si>
  <si>
    <t>3,</t>
  </si>
  <si>
    <t xml:space="preserve">新しいウィンドウ東証銀行業株価指数連動型上場投資信託 </t>
  </si>
  <si>
    <t>4,</t>
  </si>
  <si>
    <t xml:space="preserve">新しいウィンドウ東証電気機器株価指数連動型上場投資信託 </t>
  </si>
  <si>
    <t>13億円</t>
  </si>
  <si>
    <t>5,</t>
  </si>
  <si>
    <t xml:space="preserve">新しいウィンドウTOPIX Core 30連動型上場投資信託 </t>
  </si>
  <si>
    <t>6,</t>
  </si>
  <si>
    <t xml:space="preserve">新しいウィンドウTOPIX連動型上場投資信託 </t>
  </si>
  <si>
    <t>7,</t>
  </si>
  <si>
    <t xml:space="preserve">新しいウィンドウ日経225連動型上場投資信託 </t>
  </si>
  <si>
    <t>8,</t>
  </si>
  <si>
    <t xml:space="preserve">新しいウィンドウ日経300株価指数連動型上場投資信託 </t>
  </si>
  <si>
    <t>9,</t>
  </si>
  <si>
    <t xml:space="preserve">新しいウィンドウNEXT FUNDS 東証REIT指数連動型上場投信 </t>
  </si>
  <si>
    <t>年4回</t>
  </si>
  <si>
    <t>10,</t>
  </si>
  <si>
    <t xml:space="preserve">新しいウィンドウNEXT FUNDS ブラジル通貨レアル連動型上場投信 </t>
  </si>
  <si>
    <t>15億円</t>
  </si>
  <si>
    <t>11,</t>
  </si>
  <si>
    <t xml:space="preserve">新しいウィンドウNEXT FUNDS インド通貨ルピー連動型上場投信 </t>
  </si>
  <si>
    <t>12,</t>
  </si>
  <si>
    <t xml:space="preserve">新しいウィンドウNEXT FUNDS 運輸・物流(TOPIX-17)上場投信 </t>
  </si>
  <si>
    <t>13,</t>
  </si>
  <si>
    <t xml:space="preserve">新しいウィンドウNEXT FUNDS エネルギー資源(TOPIX-17)上場投信 </t>
  </si>
  <si>
    <t>4億円</t>
  </si>
  <si>
    <t>14,</t>
  </si>
  <si>
    <t xml:space="preserve">新しいウィンドウNEXT FUNDS 機械(TOPIX-17)上場投信 </t>
  </si>
  <si>
    <t>5億円</t>
  </si>
  <si>
    <t>15,</t>
  </si>
  <si>
    <t xml:space="preserve">新しいウィンドウNEXT FUNDS 金融(除く銀行)(TOPIX-17)上場投信 </t>
  </si>
  <si>
    <t>14億円</t>
  </si>
  <si>
    <t>16,</t>
  </si>
  <si>
    <t>シンプレクス・アセット・マネジメント</t>
  </si>
  <si>
    <t>ＷＴＩ原油価格連動型上場投信</t>
  </si>
  <si>
    <t>1/7月15日</t>
  </si>
  <si>
    <t>NEXT FUNDS 東証REIT指数連動型上場投信</t>
  </si>
  <si>
    <t>銘柄</t>
  </si>
  <si>
    <t>証券コード（日本)</t>
  </si>
  <si>
    <t>通貨</t>
  </si>
  <si>
    <t>証券一口当たりの貴金属の量</t>
  </si>
  <si>
    <t>貴金属</t>
  </si>
  <si>
    <t>一口当たりの純資産額</t>
  </si>
  <si>
    <t>基準日</t>
  </si>
  <si>
    <t>円</t>
  </si>
  <si>
    <t>金地金</t>
  </si>
  <si>
    <t>銀地金</t>
  </si>
  <si>
    <t>白金地金</t>
  </si>
  <si>
    <t>パラジウム地金</t>
  </si>
  <si>
    <t>ETFS貴金属バスケット上場投信（貴金属バスケットETF）</t>
  </si>
  <si>
    <t>0.009886 oz</t>
  </si>
  <si>
    <t>0.019772 oz</t>
  </si>
  <si>
    <t>1.18631952 oz</t>
  </si>
  <si>
    <t>0.0396368 oz</t>
  </si>
  <si>
    <t>貴金属バスケット</t>
  </si>
  <si>
    <t>ポートフォリオはシート"RNSC"、"JGC35"、"3daiamond"にあります。</t>
  </si>
  <si>
    <t>KITCO</t>
  </si>
  <si>
    <t>Last</t>
  </si>
  <si>
    <t>bloomberg_ETF</t>
  </si>
  <si>
    <t>取得日付</t>
  </si>
  <si>
    <t>Premium</t>
  </si>
  <si>
    <t>LastPrice</t>
  </si>
  <si>
    <t>ticker</t>
  </si>
  <si>
    <t>S&amp;P CNX Nifty</t>
  </si>
  <si>
    <t>DJIA</t>
  </si>
  <si>
    <t>MSCI KOKUSAI</t>
  </si>
  <si>
    <t>MSCI EMERGING</t>
  </si>
  <si>
    <t>基準日：8月24日</t>
  </si>
  <si>
    <t>2,775円</t>
  </si>
  <si>
    <t>（+43円）</t>
  </si>
  <si>
    <t>246億円</t>
  </si>
  <si>
    <t>(2009年7月8日)</t>
  </si>
  <si>
    <t>31,261円</t>
  </si>
  <si>
    <t>（+313円）</t>
  </si>
  <si>
    <t>237億円</t>
  </si>
  <si>
    <t>17,335円</t>
  </si>
  <si>
    <t>（+305円）</t>
  </si>
  <si>
    <t>377億円</t>
  </si>
  <si>
    <t>（新しいウィンドウ）360円</t>
  </si>
  <si>
    <t>(2009年7月15日)</t>
  </si>
  <si>
    <t>130,027円</t>
  </si>
  <si>
    <t>（+4,560円）</t>
  </si>
  <si>
    <t>（新しいウィンドウ）1920円</t>
  </si>
  <si>
    <t>55,539円</t>
  </si>
  <si>
    <t>（+1,323円）</t>
  </si>
  <si>
    <t>179億円</t>
  </si>
  <si>
    <t>（新しいウィンドウ）1300円</t>
  </si>
  <si>
    <t>97,833円</t>
  </si>
  <si>
    <t>（+2,307円）</t>
  </si>
  <si>
    <t>6,339億円</t>
  </si>
  <si>
    <t>（新しいウィンドウ）1880円</t>
  </si>
  <si>
    <t>(2009年7月10日)</t>
  </si>
  <si>
    <t>106,132円</t>
  </si>
  <si>
    <t>（+3,435円）</t>
  </si>
  <si>
    <t>5,736億円</t>
  </si>
  <si>
    <t>（新しいウィンドウ）2060円</t>
  </si>
  <si>
    <t>19,361円</t>
  </si>
  <si>
    <t>（+470円）</t>
  </si>
  <si>
    <t>118億円</t>
  </si>
  <si>
    <t>（新しいウィンドウ）286円</t>
  </si>
  <si>
    <t>103,408円</t>
  </si>
  <si>
    <t>（+508円）</t>
  </si>
  <si>
    <t>56億円</t>
  </si>
  <si>
    <t>（新しいウィンドウ）1220円</t>
  </si>
  <si>
    <t>(2009年8月10日)</t>
  </si>
  <si>
    <t>52,801円</t>
  </si>
  <si>
    <t>（+524円）</t>
  </si>
  <si>
    <t>（新しいウィンドウ）1026円</t>
  </si>
  <si>
    <t>19,345円</t>
  </si>
  <si>
    <t>（+84円）</t>
  </si>
  <si>
    <t>110,980円</t>
  </si>
  <si>
    <t>（+2,024円）</t>
  </si>
  <si>
    <t>20億円</t>
  </si>
  <si>
    <t>（新しいウィンドウ）1360円</t>
  </si>
  <si>
    <t>139,703円</t>
  </si>
  <si>
    <t>（+4,008円）</t>
  </si>
  <si>
    <t>（新しいウィンドウ）5240円</t>
  </si>
  <si>
    <t>166,594円</t>
  </si>
  <si>
    <t>（+4,340円）</t>
  </si>
  <si>
    <t>（新しいウィンドウ）10750円</t>
  </si>
  <si>
    <t>94,788円</t>
  </si>
  <si>
    <t>（+1,505円）</t>
  </si>
  <si>
    <t>（新しいウィンドウ）1460円</t>
  </si>
  <si>
    <t>102,488円</t>
  </si>
  <si>
    <t>（+1,796円）</t>
  </si>
  <si>
    <t>（新しいウィンドウ）7720円</t>
  </si>
  <si>
    <t>126,833円</t>
  </si>
  <si>
    <t>（+3,083円）</t>
  </si>
  <si>
    <t>（新しいウィンドウ）1900円</t>
  </si>
  <si>
    <t>94,263円</t>
  </si>
  <si>
    <t>（+1,978円）</t>
  </si>
  <si>
    <t>（新しいウィンドウ）1350円</t>
  </si>
  <si>
    <t>JPM</t>
  </si>
  <si>
    <t>T</t>
  </si>
  <si>
    <t>VZ</t>
  </si>
  <si>
    <t>AXP</t>
  </si>
  <si>
    <t>CAT</t>
  </si>
  <si>
    <t>PG</t>
  </si>
  <si>
    <t>AA</t>
  </si>
  <si>
    <t>BA</t>
  </si>
  <si>
    <t>INTC</t>
  </si>
  <si>
    <t>PFE</t>
  </si>
  <si>
    <t>IBM</t>
  </si>
  <si>
    <t>XOM</t>
  </si>
  <si>
    <t>DD</t>
  </si>
  <si>
    <t>CVX</t>
  </si>
  <si>
    <t>MSFT</t>
  </si>
  <si>
    <t>MMM</t>
  </si>
  <si>
    <t>UTX</t>
  </si>
  <si>
    <t>JNJ</t>
  </si>
  <si>
    <t>GE</t>
  </si>
  <si>
    <t>MCD</t>
  </si>
  <si>
    <t>BAC</t>
  </si>
  <si>
    <t>TRV</t>
  </si>
  <si>
    <t>HD</t>
  </si>
  <si>
    <t>WMT</t>
  </si>
  <si>
    <t>MRK</t>
  </si>
  <si>
    <t>HPQ</t>
  </si>
  <si>
    <t>KO</t>
  </si>
  <si>
    <t>KFT</t>
  </si>
  <si>
    <t>DIS</t>
  </si>
  <si>
    <t>CSCO</t>
  </si>
  <si>
    <t>配当月</t>
  </si>
  <si>
    <t>TICKER</t>
  </si>
  <si>
    <t>最近の配当</t>
  </si>
  <si>
    <t>1/4/7/10</t>
  </si>
  <si>
    <t>http://finance.yahoo.com/q/hp?s=JPM&amp;d=02&amp;e=10&amp;f=2010&amp;g=v</t>
  </si>
  <si>
    <t>http://finance.yahoo.com/q/hp?s=T&amp;d=02&amp;e=10&amp;f=2010&amp;g=v</t>
  </si>
  <si>
    <t>http://finance.yahoo.com/q/hp?s=VZ&amp;d=02&amp;e=10&amp;f=2010&amp;g=v</t>
  </si>
  <si>
    <t>http://finance.yahoo.com/q/hp?s=AXP&amp;d=02&amp;e=10&amp;f=2010&amp;g=v</t>
  </si>
  <si>
    <t>http://finance.yahoo.com/q/hp?s=CAT&amp;d=02&amp;e=10&amp;f=2010&amp;g=v</t>
  </si>
  <si>
    <t>http://finance.yahoo.com/q/hp?s=PG&amp;d=02&amp;e=10&amp;f=2010&amp;g=v</t>
  </si>
  <si>
    <t>2/5/8/11</t>
  </si>
  <si>
    <t>http://finance.yahoo.com/q/hp?s=AA&amp;d=02&amp;e=10&amp;f=2010&amp;g=v</t>
  </si>
  <si>
    <t>http://finance.yahoo.com/q/hp?s=BA&amp;d=02&amp;e=10&amp;f=2010&amp;g=v</t>
  </si>
  <si>
    <t>http://finance.yahoo.com/q/hp?s=INTC&amp;d=02&amp;e=10&amp;f=2010&amp;g=v</t>
  </si>
  <si>
    <t>http://finance.yahoo.com/q/hp?s=PFE&amp;d=02&amp;e=10&amp;f=2010&amp;g=v</t>
  </si>
  <si>
    <t>http://finance.yahoo.com/q/hp?s=IBM&amp;d=02&amp;e=10&amp;f=2010&amp;g=v</t>
  </si>
  <si>
    <t>http://finance.yahoo.com/q/hp?s=XOM&amp;d=02&amp;e=10&amp;f=2010&amp;g=v</t>
  </si>
  <si>
    <t>http://finance.yahoo.com/q/hp?s=DD&amp;d=02&amp;e=10&amp;f=2010&amp;g=v</t>
  </si>
  <si>
    <t>http://finance.yahoo.com/q/hp?s=CVX&amp;d=02&amp;e=10&amp;f=2010&amp;g=v</t>
  </si>
  <si>
    <t>http://finance.yahoo.com/q/hp?s=MSFT&amp;d=02&amp;e=10&amp;f=2010&amp;g=v</t>
  </si>
  <si>
    <t>http://finance.yahoo.com/q/hp?s=MMM&amp;d=02&amp;e=10&amp;f=2010&amp;g=v</t>
  </si>
  <si>
    <t>http://finance.yahoo.com/q/hp?s=UTX&amp;d=02&amp;e=10&amp;f=2010&amp;g=v</t>
  </si>
  <si>
    <t>http://finance.yahoo.com/q/hp?s=JNJ&amp;d=02&amp;e=10&amp;f=2010&amp;g=v</t>
  </si>
  <si>
    <t>http://finance.yahoo.com/q/hp?s=GE&amp;d=02&amp;e=10&amp;f=2010&amp;g=v</t>
  </si>
  <si>
    <t>http://finance.yahoo.com/q/hp?s=MCD&amp;d=02&amp;e=10&amp;f=2010&amp;g=v</t>
  </si>
  <si>
    <t>東証1部</t>
  </si>
  <si>
    <t>東証2部</t>
  </si>
  <si>
    <t>3/6/9/12</t>
  </si>
  <si>
    <t>http://finance.yahoo.com/q/hp?s=BAC&amp;d=02&amp;e=10&amp;f=2010&amp;g=v</t>
  </si>
  <si>
    <t>http://finance.yahoo.com/q/hp?s=TRV&amp;d=02&amp;e=10&amp;f=2010&amp;g=v</t>
  </si>
  <si>
    <t>http://finance.yahoo.com/q/hp?s=HD&amp;d=02&amp;e=10&amp;f=2010&amp;g=v</t>
  </si>
  <si>
    <t>http://finance.yahoo.com/q/hp?s=WMT&amp;d=02&amp;e=10&amp;f=2010&amp;g=v</t>
  </si>
  <si>
    <t>http://finance.yahoo.com/q/hp?s=MRK&amp;d=02&amp;e=10&amp;f=2010&amp;g=v</t>
  </si>
  <si>
    <t>http://finance.yahoo.com/q/hp?s=HPQ&amp;d=02&amp;e=10&amp;f=2010&amp;g=v</t>
  </si>
  <si>
    <t>http://finance.yahoo.com/q/hp?s=KO&amp;d=02&amp;e=10&amp;f=2010&amp;g=v</t>
  </si>
  <si>
    <t>http://finance.yahoo.com/q/hp?s=KFT&amp;d=02&amp;e=10&amp;f=2010&amp;g=v</t>
  </si>
  <si>
    <t>http://finance.yahoo.com/q/hp?s=DIS&amp;d=02&amp;e=10&amp;f=2010&amp;g=v</t>
  </si>
  <si>
    <t>http://finance.yahoo.com/q/hp?s=CSCO&amp;d=02&amp;e=10&amp;f=2010&amp;g=v</t>
  </si>
  <si>
    <t>配当履歴</t>
  </si>
  <si>
    <t>177,528円</t>
  </si>
  <si>
    <t>（+4,618円）</t>
  </si>
  <si>
    <t>（新しいウィンドウ）22680円</t>
  </si>
  <si>
    <t>143,150円</t>
  </si>
  <si>
    <t>（+3,470円）</t>
  </si>
  <si>
    <t>（新しいウィンドウ）1680円</t>
  </si>
  <si>
    <t>130,491円</t>
  </si>
  <si>
    <t>（+3,569円）</t>
  </si>
  <si>
    <t>36億円</t>
  </si>
  <si>
    <t>（新しいウィンドウ）1770円</t>
  </si>
  <si>
    <t>90,564円</t>
  </si>
  <si>
    <t>（+2,063円）</t>
  </si>
  <si>
    <t>（新しいウィンドウ）1860円</t>
  </si>
  <si>
    <t>112,406円</t>
  </si>
  <si>
    <t>（+2,522円）</t>
  </si>
  <si>
    <t>（新しいウィンドウ）8820円</t>
  </si>
  <si>
    <t>231,824円</t>
  </si>
  <si>
    <t>（+7,276円）</t>
  </si>
  <si>
    <t>（新しいウィンドウ）14760円</t>
  </si>
  <si>
    <t>102,769円</t>
  </si>
  <si>
    <t>賃借申込日</t>
  </si>
  <si>
    <t>（+3,563円）</t>
  </si>
  <si>
    <t>34億円</t>
  </si>
  <si>
    <t>（新しいウィンドウ）1690円</t>
  </si>
  <si>
    <t>112,974円</t>
  </si>
  <si>
    <t>（+958円）</t>
  </si>
  <si>
    <t>43億円</t>
  </si>
  <si>
    <t>MSCI-EMERGING</t>
  </si>
  <si>
    <t>diversification</t>
  </si>
  <si>
    <t>Opened</t>
  </si>
  <si>
    <t>FX/$</t>
  </si>
  <si>
    <t>（新しいウィンドウ）2500円</t>
  </si>
  <si>
    <t>182,394円</t>
  </si>
  <si>
    <t>（+1,931円）</t>
  </si>
  <si>
    <t>（新しいウィンドウ）7690円</t>
  </si>
  <si>
    <t>30,018円</t>
  </si>
  <si>
    <t>（+273円）</t>
  </si>
  <si>
    <t>6億円</t>
  </si>
  <si>
    <t>（新しいウィンドウ）1322円</t>
  </si>
  <si>
    <t>112,093円</t>
  </si>
  <si>
    <t>（+2,078円）</t>
  </si>
  <si>
    <t>（新しいウィンドウ）3030円</t>
  </si>
  <si>
    <t>28,813円</t>
  </si>
  <si>
    <t>（+690円）</t>
  </si>
  <si>
    <t>46億円</t>
  </si>
  <si>
    <t>28,058円</t>
  </si>
  <si>
    <t>（+781円）</t>
  </si>
  <si>
    <t>11,106円</t>
  </si>
  <si>
    <t>（+356円）</t>
  </si>
  <si>
    <t>26億円</t>
  </si>
  <si>
    <t>97,114円</t>
  </si>
  <si>
    <t>（+2,222円）</t>
  </si>
  <si>
    <t>（新しいウィンドウ）2560円</t>
  </si>
  <si>
    <t>ETFS貴金属バスケット</t>
  </si>
  <si>
    <t>銀価格</t>
  </si>
  <si>
    <t>白金価格</t>
  </si>
  <si>
    <t>パラジウム価格</t>
  </si>
  <si>
    <t>1証券あたりの貴金属</t>
  </si>
  <si>
    <t>ETFS金上場投信（金ETF）</t>
  </si>
  <si>
    <t>ETFS銀上場投信（銀ETF）</t>
  </si>
  <si>
    <t>「NYダウ先物」のボタンは、ダウETFのNAVのためのものです。細かいことを気にしない人は無視していいです。（）</t>
  </si>
  <si>
    <t>TGE-F</t>
  </si>
  <si>
    <t>「基準価額取得」で、日興AMからのデータ取得に失敗することがあります。そのときは、時刻を変えて再度実行してみてください。</t>
  </si>
  <si>
    <t>外部Web読み込み時に、まれに操作不能になってしまうことがあります。</t>
  </si>
  <si>
    <t>ETFS白金上場投信（プラチナETF）</t>
  </si>
  <si>
    <t>１月の全国消費者物価は下落率横ばい－前年比1.3％低下、11カ月連続マイナス (10:19)</t>
  </si>
  <si>
    <t>為替全部停止</t>
  </si>
  <si>
    <t>ブラックロック・ジャパン</t>
  </si>
  <si>
    <t>ETFSパラジウム上場投信（パラジウムETF）</t>
  </si>
  <si>
    <t>ETFS金上場投信</t>
  </si>
  <si>
    <t>ETFS貴金属バスケット上場投信</t>
  </si>
  <si>
    <t>限月切替パラメータ</t>
  </si>
  <si>
    <t>ETFSパラジウム上場投信</t>
  </si>
  <si>
    <t>ETFS白金上場投信</t>
  </si>
  <si>
    <t>ETFS銀上場投信</t>
  </si>
  <si>
    <t>WTI</t>
  </si>
  <si>
    <t>ＷＴＩ原油価格連動型上場投信</t>
  </si>
  <si>
    <t>1/7月22日</t>
  </si>
  <si>
    <t>投資家がETFの市場価格と推定NAVとの乖離を調べる目的で、取引所やPTSの取引時間中に使うことを想定しています。</t>
  </si>
  <si>
    <t>■ラッセル野村小型コア/グリーンチップ32/三菱企業群の各ETFについて</t>
  </si>
  <si>
    <t>ABF汎アジア債券インデックス・ファンド</t>
  </si>
  <si>
    <t xml:space="preserve">新しいウィンドウNEXT FUNDS 銀行(TOPIX-17)上場投信 </t>
  </si>
  <si>
    <t>17,</t>
  </si>
  <si>
    <t xml:space="preserve">新しいウィンドウNEXT FUNDS 建設・資材(TOPIX-17)上場投信 </t>
  </si>
  <si>
    <t>18,</t>
  </si>
  <si>
    <t xml:space="preserve">新しいウィンドウNEXT FUNDS 小売(TOPIX-17)上場投信 </t>
  </si>
  <si>
    <t>11億円</t>
  </si>
  <si>
    <t>19,</t>
  </si>
  <si>
    <t xml:space="preserve">新しいウィンドウNEXT FUNDS 商社・卸売(TOPIX-17)上場投信 </t>
  </si>
  <si>
    <t>3億円</t>
  </si>
  <si>
    <t>20,</t>
  </si>
  <si>
    <t xml:space="preserve">新しいウィンドウNEXT FUNDS 食品(TOPIX-17)上場投信 </t>
  </si>
  <si>
    <t>21,</t>
  </si>
  <si>
    <t xml:space="preserve">新しいウィンドウNEXT FUNDS 自動車・輸送機(TOPIX-17)上場投信 </t>
  </si>
  <si>
    <t>22,</t>
  </si>
  <si>
    <t xml:space="preserve">新しいウィンドウNEXT FUNDS 情報通信・サービスその他(TOPIX-17)上場投信 </t>
  </si>
  <si>
    <t>23,</t>
  </si>
  <si>
    <t xml:space="preserve">新しいウィンドウNEXT FUNDS 素材・化学(TOPIX-17)上場投信 </t>
  </si>
  <si>
    <t>24,</t>
  </si>
  <si>
    <t xml:space="preserve">新しいウィンドウNEXT FUNDS 鉄鋼・非鉄(TOPIX-17)上場投信 </t>
  </si>
  <si>
    <t>2億円</t>
  </si>
  <si>
    <t>25,</t>
  </si>
  <si>
    <t xml:space="preserve">新しいウィンドウNEXT FUNDS 電機・精密(TOPIX-17)上場投信 </t>
  </si>
  <si>
    <t>26,</t>
  </si>
  <si>
    <t xml:space="preserve">新しいウィンドウNEXT FUNDS 電力・ガス(TOPIX-17)上場投信 </t>
  </si>
  <si>
    <t>27,</t>
  </si>
  <si>
    <t xml:space="preserve">新しいウィンドウNEXT FUNDS 不動産(TOPIX-17)上場投信 </t>
  </si>
  <si>
    <t>28,</t>
  </si>
  <si>
    <t>2/5/8/11月10日</t>
  </si>
  <si>
    <t>奇数月8日</t>
  </si>
  <si>
    <t>1月8日/7月8日</t>
  </si>
  <si>
    <t>7月上旬</t>
  </si>
  <si>
    <t>http://futures.tradingcharts.com/marketquotes/YM.html</t>
  </si>
  <si>
    <t>@GOLD</t>
  </si>
  <si>
    <t>@SILVER</t>
  </si>
  <si>
    <t>@PLATINUM</t>
  </si>
  <si>
    <t>@PALLADIUM</t>
  </si>
  <si>
    <t>1/4/7/10月末</t>
  </si>
  <si>
    <t xml:space="preserve"> Ｓ＆Ｐ三菱系企業群</t>
  </si>
  <si>
    <t>上場インデックスファンドFTSE日本グリーンチップ35</t>
  </si>
  <si>
    <t>ＦＴＳＥ日本グリーンチップ35指数</t>
  </si>
  <si>
    <t>Ｓ＆Ｐ三菱系企業群</t>
  </si>
  <si>
    <t>FTSE Japan Green Chip30</t>
  </si>
  <si>
    <t>アジア国債・公債ETF</t>
  </si>
  <si>
    <t xml:space="preserve">アジア国債・公債ETF </t>
  </si>
  <si>
    <t>ABF汎アジア債券インデックス・ファンド</t>
  </si>
  <si>
    <t xml:space="preserve">新しいウィンドウNEXT FUNDS ロシア通貨ルーブル連動型上場投信 </t>
  </si>
  <si>
    <t>7億円</t>
  </si>
  <si>
    <t>29,</t>
  </si>
  <si>
    <t xml:space="preserve">新しいウィンドウNEXT FUNDS医薬品(TOPIX-17)上場投信 </t>
  </si>
  <si>
    <t>30,</t>
  </si>
  <si>
    <t>発行済株式数</t>
  </si>
  <si>
    <t>7211</t>
  </si>
  <si>
    <t>6503</t>
  </si>
  <si>
    <t>7011</t>
  </si>
  <si>
    <t>ＭＡＸＩＳ Ｓ＆Ｐ三菱系企業群上場投信</t>
  </si>
  <si>
    <t>時価総額</t>
  </si>
  <si>
    <t>3402</t>
  </si>
  <si>
    <t>3407</t>
  </si>
  <si>
    <t>4004</t>
  </si>
  <si>
    <t>http://futuresource.quote.com/quotes/quotes.jsp?s=F600-DT&amp;t=Future</t>
  </si>
  <si>
    <t>前回純資産</t>
  </si>
  <si>
    <t>前日純資産あり</t>
  </si>
  <si>
    <t>前日純資産なし</t>
  </si>
  <si>
    <t>http://www.nomura-am.co.jp/fund/a/d141321.html</t>
  </si>
  <si>
    <t>http://etf.daiwa-am.co.jp/funds/detail/detail_top.php?code=5841</t>
  </si>
  <si>
    <t>4091</t>
  </si>
  <si>
    <t>4188</t>
  </si>
  <si>
    <t>5012</t>
  </si>
  <si>
    <t>5019</t>
  </si>
  <si>
    <t>5233</t>
  </si>
  <si>
    <t>5333</t>
  </si>
  <si>
    <t>5631</t>
  </si>
  <si>
    <t>5714</t>
  </si>
  <si>
    <t>5801</t>
  </si>
  <si>
    <t>政策金利</t>
  </si>
  <si>
    <t>「上場インデックスファンド海外先進国株式」「上場インデックスファンド海外新興国株式」暫定対応</t>
  </si>
  <si>
    <t>0131I102</t>
  </si>
  <si>
    <t>NEXT FUNDS 日経・東工取白金指数連動型上場投信 《愛称》プラチナ先物ETF</t>
  </si>
  <si>
    <t>日経300株価指数連動型上場投資信託</t>
  </si>
  <si>
    <t>http://money.quick.co.jp/etf/detail1/1682/O_0131I102.html</t>
  </si>
  <si>
    <t>限月切替パラメータ</t>
  </si>
  <si>
    <t>予想分配落ち</t>
  </si>
  <si>
    <t>5802</t>
  </si>
  <si>
    <t>6361</t>
  </si>
  <si>
    <t>6370</t>
  </si>
  <si>
    <t>6501</t>
  </si>
  <si>
    <t>6502</t>
  </si>
  <si>
    <t>6645</t>
  </si>
  <si>
    <t>6741</t>
  </si>
  <si>
    <t>6752</t>
  </si>
  <si>
    <t>6753</t>
  </si>
  <si>
    <t>6758</t>
  </si>
  <si>
    <t>6923</t>
  </si>
  <si>
    <t>6971</t>
  </si>
  <si>
    <t>6988</t>
  </si>
  <si>
    <t>Henry Hub Natural Gas</t>
  </si>
  <si>
    <t>NYMEX</t>
  </si>
  <si>
    <t>Light sweet crude oil</t>
  </si>
  <si>
    <t>Reformulated Blendstock</t>
  </si>
  <si>
    <t>Special High Grade Zinc</t>
  </si>
  <si>
    <t>Primary Nickel</t>
  </si>
  <si>
    <t>CME</t>
  </si>
  <si>
    <t>CBOT</t>
  </si>
  <si>
    <t>World Sugar no.11</t>
  </si>
  <si>
    <t>「イージーETF S&amp;P GSCI商品指数™クラスA米ドル建受益証券」の元データ変更</t>
  </si>
  <si>
    <t>6991</t>
  </si>
  <si>
    <t>7012</t>
  </si>
  <si>
    <t>7203</t>
  </si>
  <si>
    <t>7267</t>
  </si>
  <si>
    <t>7912</t>
  </si>
  <si>
    <t>9513</t>
  </si>
  <si>
    <t>コールローン</t>
  </si>
  <si>
    <t xml:space="preserve">新しいウィンドウNEXT FUNDS ブラジル株式指数・ボベスパ連動型上場投信 </t>
  </si>
  <si>
    <t>31,</t>
  </si>
  <si>
    <t xml:space="preserve">新しいウィンドウNEXT FUNDS 南アフリカ株式指数・FTSE/JSE Africa Top40連動型上場投信 </t>
  </si>
  <si>
    <t>32,</t>
  </si>
  <si>
    <t xml:space="preserve">新しいウィンドウNEXT FUNDS ロシア株式指数・RTS連動型上場投信 </t>
  </si>
  <si>
    <t>33,</t>
  </si>
  <si>
    <t xml:space="preserve">新しいウィンドウラッセル野村小型コア・インデックス連動型上場投資信託 </t>
  </si>
  <si>
    <t>29億円</t>
  </si>
  <si>
    <t>「ＭＡＸＩＳ 日経２２５上場投信」対応</t>
  </si>
  <si>
    <t>DOW</t>
  </si>
  <si>
    <t>USD</t>
  </si>
  <si>
    <t>NAV</t>
  </si>
  <si>
    <t>公表乖離率</t>
  </si>
  <si>
    <t>開示基準日</t>
  </si>
  <si>
    <t>DOWの終値基準日</t>
  </si>
  <si>
    <t>USDは12/4</t>
  </si>
  <si>
    <t>http://www.google.com/finance/historical?q=INDEXDJX:.DJI</t>
  </si>
  <si>
    <t>FOREX</t>
  </si>
  <si>
    <t>EEM</t>
  </si>
  <si>
    <t>仲値</t>
  </si>
  <si>
    <t>予め、PCの時計は合わせてください。</t>
  </si>
  <si>
    <t>http://ir.nikkei.co.jp/irftp/data/tdnr2/tdnetg3/20091210/6082n0/140120091210073724.pdf</t>
  </si>
  <si>
    <t>https://www.release.tdnet.info/inbs/140120091211074486.pdf</t>
  </si>
  <si>
    <t>https://www.release.tdnet.info/inbs/140120091210073705.pdf</t>
  </si>
  <si>
    <t>ドル現金</t>
  </si>
  <si>
    <t>株</t>
  </si>
  <si>
    <t>時価</t>
  </si>
  <si>
    <t>評価額$</t>
  </si>
  <si>
    <t>逆日歩を取得</t>
  </si>
  <si>
    <t>MSCIKOKUSAI</t>
  </si>
  <si>
    <t>上場インデックスファンド海外先進国株式（MSCI-KOKUSAI）</t>
  </si>
  <si>
    <t>上場インデックスファンド海外新興国株式（MSCIエマージング）</t>
  </si>
  <si>
    <t>MSCIEMERGING</t>
  </si>
  <si>
    <t>上場インデックスファンド海外新興国株式（MSCIエマージング）</t>
  </si>
  <si>
    <t>TOCOM-F</t>
  </si>
  <si>
    <t>ETF-NAV(仮) 2010/03/08 版です。</t>
  </si>
  <si>
    <t>ETFは対象指標とNAVが連動することを目指して運用される金融商品です。市場の需給で決定される市場価格とNAVとの連動は保証されていません。</t>
  </si>
  <si>
    <t>外国株ETFのNAVの計算は結果がおかしいことがあるかもしれませんが、ご了承ください。</t>
  </si>
  <si>
    <t>「NYダウ」対応。WTIの取得ページ変更。</t>
  </si>
  <si>
    <t>※その後、エクセル2000でも動くようになったかもしれません。</t>
  </si>
  <si>
    <t>アドインの分析ツール</t>
  </si>
  <si>
    <t>EM@China</t>
  </si>
  <si>
    <t>EM@Brazil</t>
  </si>
  <si>
    <t>EM@Korea</t>
  </si>
  <si>
    <t>EM@India</t>
  </si>
  <si>
    <t>EM@South Africa</t>
  </si>
  <si>
    <t>KO@SP500</t>
  </si>
  <si>
    <t>KO@S&amp;P/TSX 60</t>
  </si>
  <si>
    <t>KO@SPI 200</t>
  </si>
  <si>
    <t>KO@DJ EURO STOXX 600</t>
  </si>
  <si>
    <t>KO@MSCI SING INDEX</t>
  </si>
  <si>
    <t>EM@Taiwan</t>
  </si>
  <si>
    <t>EM@Russia</t>
  </si>
  <si>
    <t>KO@DJ EURO STOXX 50</t>
  </si>
  <si>
    <t>KO@HANGSENG INDEX</t>
  </si>
  <si>
    <t>マクロ実行中に外部Web読み込みエラー等が起こった場合、手動でマクロを中止・もしくはエラーを回避してください。エラー発生に柔軟に対応するような親切な作りではありません。</t>
  </si>
  <si>
    <t>NEXT FUNDS 銀行(TOPIX-17)上場投信</t>
  </si>
  <si>
    <t>「逆日歩」のボタンを押すと、最新の逆日歩情報を「基準価額」のシートに取得します。13:30以降に実行すると、当日の昼に決定した最新の情報を取得できます。</t>
  </si>
  <si>
    <t>NAVを取得すべき</t>
  </si>
  <si>
    <t>http://www.bloomberg.com/apps/quote?ticker=2821:HK</t>
  </si>
  <si>
    <t>「基準価額取得」のボタンを押すと、運用会社発表の基準価額及び逆日歩情報を取り込みます。リアルタイムNAVを取得する当日に１回行ってください。</t>
  </si>
  <si>
    <t>・運用会社発表の基準価額に、Yahoo!Finance(最低20分遅れ)を用いて計算したポートフォリオ時価総額の変動率を乗じる(RNSC等)</t>
  </si>
  <si>
    <t>・運用会社発表のNAV（韓国ETF）</t>
  </si>
  <si>
    <t>リアルタイムとはいっても、若干遅れる場合があります。</t>
  </si>
  <si>
    <t>エクセル2000では、Yahoo!Financeを用いた市場変動を取得できないことを確認しています。(RNSC等は変動率を計算できない)</t>
  </si>
  <si>
    <t>設定解約ユニット数を推定</t>
  </si>
  <si>
    <t>http://money.quick.co.jp/etf/detail1/1306/T_01312017.html</t>
  </si>
  <si>
    <t>DJIA-Time</t>
  </si>
  <si>
    <t>http://www.bloomberg.co.jp/markets/currencies/fxc.html</t>
  </si>
  <si>
    <t>COSPI200</t>
  </si>
  <si>
    <t>https://personal.vanguard.com/us/funds/holdings?FundId=0964&amp;FundIntExt=INT</t>
  </si>
  <si>
    <t>TIME</t>
  </si>
  <si>
    <t>http://data.tradingcharts.com/futures/quotes/DJ.html</t>
  </si>
  <si>
    <t>■NYダウ</t>
  </si>
  <si>
    <t>http://data.tradingcharts.com/futures/quotes/ZD.html</t>
  </si>
  <si>
    <t>GLOBEX</t>
  </si>
  <si>
    <t>pit session</t>
  </si>
  <si>
    <t>http://money.quick.co.jp/etf/detail1/1613/T_01313024.html</t>
  </si>
  <si>
    <t>http://money.quick.co.jp/etf/detail1/1615/T_01315024.html</t>
  </si>
  <si>
    <t>http://money.quick.co.jp/etf/detail1/1617/T_01315083.html</t>
  </si>
  <si>
    <t>http://money.quick.co.jp/etf/detail1/1618/T_01316083.html</t>
  </si>
  <si>
    <t>http://www.bloomberg.com/apps/quote?ticker=SHSZ300:IND</t>
  </si>
  <si>
    <t>http://money.quick.co.jp/etf/detail1/1619/T_01317083.html</t>
  </si>
  <si>
    <t>http://money.quick.co.jp/etf/detail1/1620/T_01318083.html</t>
  </si>
  <si>
    <t>http://money.quick.co.jp/etf/detail1/1621/T_01319083.html</t>
  </si>
  <si>
    <t>http://money.quick.co.jp/etf/detail1/1622/T_0131A083.html</t>
  </si>
  <si>
    <t>http://money.quick.co.jp/etf/detail1/1623/T_0131B083.html</t>
  </si>
  <si>
    <t>枚数</t>
  </si>
  <si>
    <t>指数</t>
  </si>
  <si>
    <t>為替</t>
  </si>
  <si>
    <t>USD</t>
  </si>
  <si>
    <t>CAD</t>
  </si>
  <si>
    <t>AUD</t>
  </si>
  <si>
    <t>EUR</t>
  </si>
  <si>
    <t>HGD</t>
  </si>
  <si>
    <t>SGD</t>
  </si>
  <si>
    <t>SGFE-SGX FUTURE</t>
  </si>
  <si>
    <t>http://money.quick.co.jp/etf/detail1/1624/T_0131C083.html</t>
  </si>
  <si>
    <t>http://money.quick.co.jp/etf/detail1/1625/T_0131D083.html</t>
  </si>
  <si>
    <t>http://money.quick.co.jp/etf/detail1/1626/T_0131E083.html</t>
  </si>
  <si>
    <t>・外国市場の価格(汎アジア債券等)</t>
  </si>
  <si>
    <t>http://money.quick.co.jp/etf/detail1/1627/T_0131F083.html</t>
  </si>
  <si>
    <t>http://money.quick.co.jp/etf/detail1/1628/T_0131G083.html</t>
  </si>
  <si>
    <t>http://money.quick.co.jp/etf/detail1/1629/T_0131H083.html</t>
  </si>
  <si>
    <t>http://money.quick.co.jp/etf/detail1/1630/T_0131I083.html</t>
  </si>
  <si>
    <t>http://money.quick.co.jp/etf/detail1/1631/T_0131J083.html</t>
  </si>
  <si>
    <t>http://money.quick.co.jp/etf/detail1/1632/T_0131K083.html</t>
  </si>
  <si>
    <t>http://money.quick.co.jp/etf/detail1/1633/T_0131L083.html</t>
  </si>
  <si>
    <t>DJIA先物期近</t>
  </si>
  <si>
    <t>DJIA先物期近</t>
  </si>
  <si>
    <t>http://money.quick.co.jp/etf/detail1/1343/T_01314089.html</t>
  </si>
  <si>
    <t>基準日の終値</t>
  </si>
  <si>
    <t>最新の終値</t>
  </si>
  <si>
    <t>http://money.quick.co.jp/etf/detail1/1319/T_01314954.html</t>
  </si>
  <si>
    <t>http://money.quick.co.jp/etf/detail1/1312/O_0131307A.html</t>
  </si>
  <si>
    <t>http://money.quick.co.jp/etf/detail1/1311/T_01312024.html</t>
  </si>
  <si>
    <t>http://money.quick.co.jp/etf/detail1/1321/O_01311017.html</t>
  </si>
  <si>
    <t>http://money.quick.co.jp/etf/detail1/1305/T_04315017.html</t>
  </si>
  <si>
    <t>http://money.quick.co.jp/etf/detail1/1320/O_04314017.html</t>
  </si>
  <si>
    <t>http://money.quick.co.jp/etf/detail1/1310/T_04312023.html</t>
  </si>
  <si>
    <t>@  CORN FUTURE (USd/bu.)</t>
  </si>
  <si>
    <t>@  WHEAT FUTURE(CBT) (USd/bu.)</t>
  </si>
  <si>
    <t>@  SOYBEAN FUTURE (USd/bu.)</t>
  </si>
  <si>
    <t>@Nymex Henry Hub Future</t>
  </si>
  <si>
    <t>@  GASOLINE RBOB FUT (USd/gal.)</t>
  </si>
  <si>
    <t>http://money.quick.co.jp/etf/detail1/1610/T_04313023.html</t>
  </si>
  <si>
    <t>http://money.quick.co.jp/etf/detail1/1612/T_04315023.html</t>
  </si>
  <si>
    <t>http://money.quick.co.jp/etf/detail1/1634/T_04314087.html</t>
  </si>
  <si>
    <t>http://money.quick.co.jp/etf/detail1/1635/T_04315087.html</t>
  </si>
  <si>
    <t>http://money.quick.co.jp/etf/detail1/1636/T_04316087.html</t>
  </si>
  <si>
    <t>http://money.quick.co.jp/etf/detail1/1637/T_04317087.html</t>
  </si>
  <si>
    <t>http://money.quick.co.jp/etf/detail1/1638/T_04318087.html</t>
  </si>
  <si>
    <t>必要な外為のみ取得</t>
  </si>
  <si>
    <t>外為を全部取得する</t>
  </si>
  <si>
    <t>http://money.quick.co.jp/etf/detail1/1639/T_04319087.html</t>
  </si>
  <si>
    <t>http://money.quick.co.jp/etf/detail1/1640/T_0431A087.html</t>
  </si>
  <si>
    <t>http://money.quick.co.jp/etf/detail1/1641/T_0431B087.html</t>
  </si>
  <si>
    <t>http://money.quick.co.jp/etf/detail1/1642/T_0431C087.html</t>
  </si>
  <si>
    <t>http://money.quick.co.jp/etf/detail1/1643/T_0431D087.html</t>
  </si>
  <si>
    <t>http://money.quick.co.jp/etf/detail1/1644/T_0431E087.html</t>
  </si>
  <si>
    <t>http://money.quick.co.jp/etf/detail1/1645/T_0431F087.html</t>
  </si>
  <si>
    <t>http://money.quick.co.jp/etf/detail1/1646/T_0431G087.html</t>
  </si>
  <si>
    <t>http://money.quick.co.jp/etf/detail1/1647/T_0431H087.html</t>
  </si>
  <si>
    <t>http://money.quick.co.jp/etf/detail1/1648/T_0431I087.html</t>
  </si>
  <si>
    <t>http://money.quick.co.jp/etf/detail1/1649/T_0431J087.html</t>
  </si>
  <si>
    <t>http://money.quick.co.jp/etf/detail1/1650/T_0431K087.html</t>
  </si>
  <si>
    <t>http://money.quick.co.jp/etf/detail1/1670/T_03311097.html</t>
  </si>
  <si>
    <t>http://money.quick.co.jp/etf/detail1/1671/O_9D311097.html</t>
  </si>
  <si>
    <t>http://money.quick.co.jp/etf/detail1/1672/T_.html</t>
  </si>
  <si>
    <t>@  GOLD 100 OZ FUTR (USD/t oz.)</t>
  </si>
  <si>
    <t>@  SILVER FUTURE (USD/t oz.)</t>
  </si>
  <si>
    <t>@  LIVE CATTLE FUTR (USd/lb.)</t>
  </si>
  <si>
    <t>@  LEAN HOGS FUTURE (USd/lb.)</t>
  </si>
  <si>
    <t>http://money.quick.co.jp/etf/detail1/1673/T_.html</t>
  </si>
  <si>
    <t>http://money.quick.co.jp/etf/detail1/1674/T_.html</t>
  </si>
  <si>
    <t>http://money.quick.co.jp/etf/detail1/1675/T_.html</t>
  </si>
  <si>
    <t>http://money.quick.co.jp/etf/detail1/1676/T_.html</t>
  </si>
  <si>
    <t>http://money.quick.co.jp/etf/detail1/1677/T_02311099.html</t>
  </si>
  <si>
    <t>■S&amp;P500</t>
  </si>
  <si>
    <t>http://data.tradingcharts.com/futures/quotes/SP.html</t>
  </si>
  <si>
    <t>http://data.tradingcharts.com/futures/quotes/SP_.html</t>
  </si>
  <si>
    <t>http://money.quick.co.jp/etf/detail1/1678/T_0131209B.html</t>
  </si>
  <si>
    <t>http://money.quick.co.jp/etf/detail1/1679/T_9D31109C.html</t>
  </si>
  <si>
    <t>ETF Securities</t>
  </si>
  <si>
    <t>DJUBS:IND</t>
  </si>
  <si>
    <t>DJUBSEN:IND</t>
  </si>
  <si>
    <t>DJUBSIN:IND</t>
  </si>
  <si>
    <t>DJUBSAG:IND</t>
  </si>
  <si>
    <t>DJUBSGR:IND</t>
  </si>
  <si>
    <t>DJUBSNG:IND</t>
  </si>
  <si>
    <t>DJUBSCL:IND</t>
  </si>
  <si>
    <t>DJUBSRB:IND</t>
  </si>
  <si>
    <t>DJUBSAL:IND</t>
  </si>
  <si>
    <t>DJUBSHG:IND</t>
  </si>
  <si>
    <t>DJUBSNI:IND</t>
  </si>
  <si>
    <t>DJUBSWH:IND</t>
  </si>
  <si>
    <t>DJUBSCN:IND</t>
  </si>
  <si>
    <t>DJUBSSY:IND</t>
  </si>
  <si>
    <t>AIGC:LN</t>
  </si>
  <si>
    <t>AIGE:LN</t>
  </si>
  <si>
    <t>AIGI:LN</t>
  </si>
  <si>
    <t>AIGA:LN</t>
  </si>
  <si>
    <t>AIGG:LN</t>
  </si>
  <si>
    <t>NGAS:LN</t>
  </si>
  <si>
    <t>CRUD:LN</t>
  </si>
  <si>
    <t>UGAS:LN</t>
  </si>
  <si>
    <t>ALUM:LN</t>
  </si>
  <si>
    <t>COPA:LN</t>
  </si>
  <si>
    <t>NICK:LN</t>
  </si>
  <si>
    <t>WEAT:LN</t>
  </si>
  <si>
    <t>CORN:LN</t>
  </si>
  <si>
    <t>SOYB:LN</t>
  </si>
  <si>
    <t>High Grade Primary Aluminium</t>
  </si>
  <si>
    <t>LME</t>
  </si>
  <si>
    <t>offe "C</t>
  </si>
  <si>
    <t>NYBOT</t>
  </si>
  <si>
    <t>COMEX</t>
  </si>
  <si>
    <t>WTIの限月交代は、毎月20日ごろ</t>
  </si>
  <si>
    <t>http://money.quick.co.jp/etf/detail1/1349/T_.html</t>
  </si>
  <si>
    <t>http://money.quick.co.jp/etf/detail1/1348/T_03311095.html</t>
  </si>
  <si>
    <t>http://money.quick.co.jp/etf/detail1/1347/T_02311094.html</t>
  </si>
  <si>
    <t>http://money.quick.co.jp/etf/detail1/1346/O_03312092.html</t>
  </si>
  <si>
    <t>http://money.quick.co.jp/etf/detail1/1345/T_0231208A.html</t>
  </si>
  <si>
    <t>http://money.quick.co.jp/etf/detail1/1344/T_03311089.html</t>
  </si>
  <si>
    <t>http://money.quick.co.jp/etf/detail1/1330/T_02313017.html</t>
  </si>
  <si>
    <t>http://money.quick.co.jp/etf/detail1/1329/T_48311019.html</t>
  </si>
  <si>
    <t>http://money.quick.co.jp/etf/detail1/1328/O_01311078.html</t>
  </si>
  <si>
    <t>http://money.quick.co.jp/etf/detail1/1327/T_.html</t>
  </si>
  <si>
    <t>http://money.quick.co.jp/etf/detail1/1326/T_.html</t>
  </si>
  <si>
    <t>SMLEX</t>
  </si>
  <si>
    <t>■EASY商品について</t>
  </si>
  <si>
    <t>イージーETF S&amp;P GSCI 商品指数 クラスA米ドル建</t>
  </si>
  <si>
    <t>イージーETF S&amp;P GSCI 商品指数 クラスA米ドル建</t>
  </si>
  <si>
    <t>上場インデックスＪリート隔月</t>
  </si>
  <si>
    <t>細かな修正</t>
  </si>
  <si>
    <t>http://www.etfsecurities.com/csl/classic/index.asp</t>
  </si>
  <si>
    <t>@  SOYBEAN OIL FUTR (USd/lb.)</t>
  </si>
  <si>
    <t>「イージーETF S&amp;P GSCI商品指数™クラスA米ドル建受益証券」に対応</t>
  </si>
  <si>
    <t>2009/10/31のポートフォリオ</t>
  </si>
  <si>
    <t>「上場インデックスファンドJリート(東証REIT指数)隔月分配型」に対応</t>
  </si>
  <si>
    <t>S&amp;P GSCI</t>
  </si>
  <si>
    <t>AXA</t>
  </si>
  <si>
    <t>大和のサイト変更に対応</t>
  </si>
  <si>
    <t>決算</t>
  </si>
  <si>
    <t>NAV per Benchmark</t>
  </si>
  <si>
    <t>銘柄コード</t>
  </si>
  <si>
    <t>ベンチマーク指数</t>
  </si>
  <si>
    <t>■その他</t>
  </si>
  <si>
    <t>■Russell/Nomura 日本株インデックス</t>
  </si>
  <si>
    <t>銀行業(内国ETF)</t>
  </si>
  <si>
    <t>日本時間　13時25分～19時</t>
  </si>
  <si>
    <t>NEXT FUNDS インド株式指数・S&amp;P CNX Nifty連動型上場投信</t>
  </si>
  <si>
    <t>http://finance.yahoo.com/q?s=^NSEI</t>
  </si>
  <si>
    <t>品貸料</t>
  </si>
  <si>
    <t>日歩日数</t>
  </si>
  <si>
    <t>決算日のNAVは分配後価格</t>
  </si>
  <si>
    <t>イージーETF S&amp;P GSCI商品指数™ キャップド・コモディティ 35/20 クラスA米ドル建受益証券</t>
  </si>
  <si>
    <t>http://www.nse-india.com/marketinfo/indices/indexwatch.jsp</t>
  </si>
  <si>
    <t>NEXT FUNDS インド株式指数・S＆P CNX Nifty連動型上場投信</t>
  </si>
  <si>
    <t>Sheet("基準価額")中の薄黄色のセルは時々自動更新されますが、各自手動で更新することもできます。</t>
  </si>
  <si>
    <t>PANDA</t>
  </si>
  <si>
    <t>金価格連動型上場投資信託</t>
  </si>
  <si>
    <t>配当権利落ち・分配権利落ちに対応。</t>
  </si>
  <si>
    <t>SPDRGOLD</t>
  </si>
  <si>
    <t>通貨ETF（インド・ルピー、ブラジル・レアル、ロシア・ルーブル）対応</t>
  </si>
  <si>
    <t>J-REIT ETF対応</t>
  </si>
  <si>
    <t>予想配当額</t>
  </si>
  <si>
    <t>・運用会社発表の基準価額に、その翌営業日の現物指数の変動率を乗じる(内国株ETF)</t>
  </si>
  <si>
    <t>ＮＥＸＴ ＦＵＮＤＳ インド通貨ルピー連動型上場投信</t>
  </si>
  <si>
    <t>DJIA</t>
  </si>
  <si>
    <t>Open</t>
  </si>
  <si>
    <t>High</t>
  </si>
  <si>
    <t>Low</t>
  </si>
  <si>
    <t>限月</t>
  </si>
  <si>
    <t>ＮＥＸＴ ＦＵＮＤＳ ブラジル通貨レアル連動型上場投信</t>
  </si>
  <si>
    <t>ＮＥＸＴ ＦＵＮＤＳ ロシア通貨ルーブル連動型上場投信</t>
  </si>
  <si>
    <t>ベンチマーク指標</t>
  </si>
  <si>
    <t>・基準価額と指数の比に現在の指数を乗じる(多くの外国ETF、金ETF)</t>
  </si>
  <si>
    <t>http://www.nikkoam.com/products/etf/lineup/topix</t>
  </si>
  <si>
    <t>「リアルタイムNAV取得」ボタンを押すと、最新の株価指数等を取り込んで推定NAVを計算します。</t>
  </si>
  <si>
    <t>MAXISトピックス・コア30上場投信</t>
  </si>
  <si>
    <t>MAXIS トピックス・コア３０対応</t>
  </si>
  <si>
    <t>銘柄入れ替え等があるときは、適時修正してください。</t>
  </si>
  <si>
    <t>CSI300の円建て指数とNAVを取得</t>
  </si>
  <si>
    <t>大和TOPIX－17シリーズ対応</t>
  </si>
  <si>
    <t>RusselNomura小型コア対応(最低20分遅れ)</t>
  </si>
  <si>
    <t>更新日時</t>
  </si>
  <si>
    <t>基準価額/口</t>
  </si>
  <si>
    <t>リアルタイム
NAV</t>
  </si>
  <si>
    <t>イオンクレジットサービス</t>
  </si>
  <si>
    <t>ジャフコ</t>
  </si>
  <si>
    <t>証券、商品先物取引業</t>
  </si>
  <si>
    <t>丸三証券</t>
  </si>
  <si>
    <t>松井証券</t>
  </si>
  <si>
    <t>保険業</t>
  </si>
  <si>
    <t>ニッセイ同和損害保険</t>
  </si>
  <si>
    <t>平和不動産</t>
  </si>
  <si>
    <t>為替全部取得</t>
  </si>
  <si>
    <t>指定のもののみ</t>
  </si>
  <si>
    <t>外為を全部取得しない</t>
  </si>
  <si>
    <t>外為の取得設定</t>
  </si>
  <si>
    <t>最新のデータを取得</t>
  </si>
  <si>
    <t>ダイビル</t>
  </si>
  <si>
    <t>テーオーシー</t>
  </si>
  <si>
    <t>陸運業</t>
  </si>
  <si>
    <t>倉庫・運輸関連業</t>
  </si>
  <si>
    <t>山九</t>
  </si>
  <si>
    <t>福山通運</t>
  </si>
  <si>
    <t>セイノーホールディングス</t>
  </si>
  <si>
    <t>海運業</t>
  </si>
  <si>
    <t>飯野海運</t>
  </si>
  <si>
    <t>三井倉庫</t>
  </si>
  <si>
    <t>住友倉庫</t>
  </si>
  <si>
    <t>テレビ朝日</t>
  </si>
  <si>
    <t>イー・アクセス</t>
  </si>
  <si>
    <t>光通信</t>
  </si>
  <si>
    <t>角川グループホールディングス</t>
  </si>
  <si>
    <t>電気・ガス業</t>
  </si>
  <si>
    <t>沖縄電力</t>
  </si>
  <si>
    <t>西部瓦斯</t>
  </si>
  <si>
    <t>松竹</t>
  </si>
  <si>
    <t>東映</t>
  </si>
  <si>
    <t>東京ドーム</t>
  </si>
  <si>
    <t>日本空港ビルデング</t>
  </si>
  <si>
    <t>住商情報システム</t>
  </si>
  <si>
    <t>メイテック</t>
  </si>
  <si>
    <t>Stock %Change</t>
  </si>
  <si>
    <t>VWO-IV</t>
  </si>
  <si>
    <t>http://finance.yahoo.com/q?s=%5EVWO-IV</t>
  </si>
  <si>
    <t>https://personal.vanguard.com/us/funds/snapshot?FundId=0964&amp;FundIntExt=INT</t>
  </si>
  <si>
    <t>アサツー　ディ・ケイ</t>
  </si>
  <si>
    <t>富士ソフト</t>
  </si>
  <si>
    <t>ダイセキ</t>
  </si>
  <si>
    <t>オートバックスセブン</t>
  </si>
  <si>
    <t>吉野家ホールディングス</t>
  </si>
  <si>
    <t>因幡電機産業</t>
  </si>
  <si>
    <t>サンドラッグ</t>
  </si>
  <si>
    <t>■ETFリンク</t>
  </si>
  <si>
    <t>■金価格リンク</t>
  </si>
  <si>
    <t>■為替レートリンク</t>
  </si>
  <si>
    <t>金現物連動型ＥＴＦ「SPDR ゴールド・シェア」(1326.T)対応, エクセル2003で動作確認</t>
  </si>
  <si>
    <t>市場価格</t>
  </si>
  <si>
    <t>日時</t>
  </si>
  <si>
    <t>TOPIX-17 銀行- 東証銀行業で代替</t>
  </si>
  <si>
    <t>KODEX200のNAVの取得先変更</t>
  </si>
  <si>
    <t>KODEX200</t>
  </si>
  <si>
    <t>コード</t>
  </si>
  <si>
    <t>対象指数</t>
  </si>
  <si>
    <t>銘柄名</t>
  </si>
  <si>
    <t>TOPIX</t>
  </si>
  <si>
    <t>日経225</t>
  </si>
  <si>
    <t>銀行業株価指数</t>
  </si>
  <si>
    <t>SSE50</t>
  </si>
  <si>
    <t>CSI300</t>
  </si>
  <si>
    <t>KOSPI200</t>
  </si>
  <si>
    <t>NEXT FUNDS 日経・東工取白金指数連動型上場投信 《愛称》プラチナ先物ETF</t>
  </si>
  <si>
    <t>DJ-UBSCI 総合商品指数</t>
  </si>
  <si>
    <t>金価格</t>
  </si>
  <si>
    <t>日経300</t>
  </si>
  <si>
    <t>TOPIX Core 30</t>
  </si>
  <si>
    <t>Ｓ＆Ｐ日本新興株100</t>
  </si>
  <si>
    <t>電気機器株価指数</t>
  </si>
  <si>
    <t>Russell/Nomura 小型コア</t>
  </si>
  <si>
    <t>時刻</t>
  </si>
  <si>
    <t>基準価額</t>
  </si>
  <si>
    <t>TOPIX-17食品</t>
  </si>
  <si>
    <t>TOPIX-17エネルギー資源</t>
  </si>
  <si>
    <t>TOPIX-17建設・資材</t>
  </si>
  <si>
    <t>TOPIX-17素材・化学</t>
  </si>
  <si>
    <t>TOPIX-17医薬品</t>
  </si>
  <si>
    <t>「WTI」対応</t>
  </si>
  <si>
    <t>「ETFS Metal」 対応</t>
  </si>
  <si>
    <t>「上場外債」対応</t>
  </si>
  <si>
    <t>「日経・東工取白金指数連動型」「国内金先物価格連動型」対応</t>
  </si>
  <si>
    <t>「グリーンチップ35」、「アジア債券」、「三菱」対応</t>
  </si>
  <si>
    <t>http://www.bloomberg.com/markets/stocks/wei_region3.html</t>
  </si>
  <si>
    <t>■アジア地域株式</t>
  </si>
  <si>
    <t>米国</t>
  </si>
  <si>
    <t>IEF</t>
  </si>
  <si>
    <t>米以外</t>
  </si>
  <si>
    <t>IGOV</t>
  </si>
  <si>
    <t>日本</t>
  </si>
  <si>
    <t>^IGOV-IV</t>
  </si>
  <si>
    <t>DJIA-Time</t>
  </si>
  <si>
    <t>http://www.bloomberg.com/markets/stocks/wei.html</t>
  </si>
  <si>
    <t>TOPIX-17自動車・輸送機</t>
  </si>
  <si>
    <t>TOPIX-17鉄鋼・非鉄</t>
  </si>
  <si>
    <t>TOPIX-17機械</t>
  </si>
  <si>
    <t>TOPIX-17電機・精密</t>
  </si>
  <si>
    <t>TOPIX-17情報通信・サービスその他</t>
  </si>
  <si>
    <t>TOPIX-17電力・ガス</t>
  </si>
  <si>
    <t>TOPIX-17運輸・物流</t>
  </si>
  <si>
    <t>上場インデックスファンド海外債券（Citigroup WGBI）毎月分配型</t>
  </si>
  <si>
    <t>http://chartpark.com/wti.html</t>
  </si>
  <si>
    <t>■WTI</t>
  </si>
  <si>
    <t>■インド株</t>
  </si>
  <si>
    <t>TOPIX-17商社・卸売</t>
  </si>
  <si>
    <t>TOPIX-17小売</t>
  </si>
  <si>
    <t>TOPIX-17銀行</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</si>
</sst>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 numFmtId="180" formatCode="&quot;\&quot;#,##0_);[Red]\(&quot;\&quot;#,##0\)"/>
    <numFmt numFmtId="181" formatCode="&quot;\&quot;#,##0.0;&quot;\&quot;\-#,##0.0"/>
    <numFmt numFmtId="182" formatCode="0.000%"/>
    <numFmt numFmtId="183" formatCode="0.00_ "/>
    <numFmt numFmtId="184" formatCode="0.00000%"/>
    <numFmt numFmtId="185" formatCode="&quot;US$&quot;#,##0.00;\-&quot;US$&quot;#,##0.00"/>
    <numFmt numFmtId="186" formatCode="[$€-2]\ #,##0.00_);[Red]\([$€-2]\ #,##0.00\)"/>
    <numFmt numFmtId="187" formatCode="&quot;\&quot;#,##0.00_);[Red]\(&quot;\&quot;#,##0.00\)"/>
    <numFmt numFmtId="188" formatCode="#,##0.00000_);[Red]\(#,##0.00000\)"/>
    <numFmt numFmtId="189" formatCode="#,##0.00_);[Red]\(#,##0.00\)"/>
    <numFmt numFmtId="190" formatCode="0.0000%"/>
    <numFmt numFmtId="191" formatCode="h:mm:ss;@"/>
    <numFmt numFmtId="192" formatCode="0.0_ "/>
    <numFmt numFmtId="193" formatCode="#,##0.00_ "/>
    <numFmt numFmtId="194" formatCode="#,##0_ "/>
    <numFmt numFmtId="195" formatCode="0.000_ "/>
    <numFmt numFmtId="196" formatCode="0_ "/>
    <numFmt numFmtId="197" formatCode="m&quot;月&quot;d&quot;日&quot;;@"/>
    <numFmt numFmtId="198" formatCode="h:mm;@"/>
    <numFmt numFmtId="199" formatCode="[$-F400]h:mm:ss\ AM/PM"/>
    <numFmt numFmtId="200" formatCode="#,##0.000"/>
    <numFmt numFmtId="201" formatCode="yyyy/m/d\ h:mm;@"/>
    <numFmt numFmtId="202" formatCode="\$#,##0.00;\-\$#,##0.00"/>
    <numFmt numFmtId="203" formatCode="\$#,##0;\-\$#,##0"/>
    <numFmt numFmtId="204" formatCode="m/d/yy\ h:mm;@"/>
    <numFmt numFmtId="205" formatCode="0.000000%"/>
    <numFmt numFmtId="206" formatCode="m/d/yy;@"/>
    <numFmt numFmtId="207" formatCode="yyyy/m/d;@"/>
    <numFmt numFmtId="208" formatCode="0.0%"/>
    <numFmt numFmtId="209" formatCode="0.00000000000000000%"/>
    <numFmt numFmtId="210" formatCode="0.0000_);[Red]\(0.0000\)"/>
    <numFmt numFmtId="211" formatCode="_-&quot;US$&quot;* #,##0.0000_ ;_-&quot;US$&quot;* \-#,##0.0000\ ;_-&quot;US$&quot;* &quot;-&quot;????_ ;_-@_ "/>
    <numFmt numFmtId="212" formatCode="&quot;US$&quot;#,##0.0000;\-&quot;US$&quot;#,##0.0000"/>
    <numFmt numFmtId="213" formatCode="_-\$&quot;\&quot;* #,##0.0000_ ;_-\$&quot;\&quot;* \-#,##0.0000\ ;_-\$&quot;\&quot;* &quot;-&quot;????_ ;_-@_ "/>
    <numFmt numFmtId="214" formatCode="0.00_);[Red]\(0.00\)"/>
    <numFmt numFmtId="215" formatCode="#,##0_);\(#,##0\)"/>
    <numFmt numFmtId="216" formatCode="#,##0.0000"/>
    <numFmt numFmtId="217" formatCode="#,##0.0000000000000_);[Red]\(#,##0.0000000000000\)"/>
    <numFmt numFmtId="218" formatCode="&quot;US$&quot;#,##0.000;\-&quot;US$&quot;#,##0.000"/>
    <numFmt numFmtId="219" formatCode="\$&quot;\&quot;#,##0.00;\-\$&quot;\&quot;#,##0.00"/>
  </numFmts>
  <fonts count="20">
    <font>
      <sz val="11"/>
      <name val="ＭＳ Ｐゴシック"/>
      <family val="3"/>
    </font>
    <font>
      <sz val="6"/>
      <name val="ＭＳ Ｐゴシック"/>
      <family val="3"/>
    </font>
    <font>
      <sz val="9"/>
      <name val="MS UI Gothic"/>
      <family val="3"/>
    </font>
    <font>
      <sz val="8"/>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0"/>
      <name val="ＭＳ Ｐゴシック"/>
      <family val="3"/>
    </font>
    <font>
      <sz val="10"/>
      <name val="Arial"/>
      <family val="2"/>
    </font>
    <font>
      <sz val="10"/>
      <name val="Arial Unicode MS"/>
      <family val="3"/>
    </font>
    <font>
      <sz val="11"/>
      <name val="Arial"/>
      <family val="2"/>
    </font>
    <font>
      <sz val="7"/>
      <name val="ＭＳ Ｐゴシック"/>
      <family val="3"/>
    </font>
    <font>
      <strike/>
      <sz val="11"/>
      <name val="ＭＳ Ｐゴシック"/>
      <family val="3"/>
    </font>
    <font>
      <b/>
      <sz val="9"/>
      <name val="ＭＳ Ｐゴシック"/>
      <family val="3"/>
    </font>
    <font>
      <sz val="12"/>
      <name val="ＭＳ Ｐゴシック"/>
      <family val="3"/>
    </font>
    <font>
      <i/>
      <sz val="11"/>
      <name val="ＭＳ Ｐゴシック"/>
      <family val="3"/>
    </font>
    <font>
      <u val="single"/>
      <sz val="11"/>
      <name val="ＭＳ Ｐゴシック"/>
      <family val="3"/>
    </font>
    <font>
      <sz val="7.7"/>
      <color indexed="8"/>
      <name val="Verdana"/>
      <family val="2"/>
    </font>
    <font>
      <b/>
      <sz val="8"/>
      <name val="ＭＳ Ｐゴシック"/>
      <family val="2"/>
    </font>
  </fonts>
  <fills count="8">
    <fill>
      <patternFill/>
    </fill>
    <fill>
      <patternFill patternType="gray125"/>
    </fill>
    <fill>
      <patternFill patternType="solid">
        <fgColor indexed="13"/>
        <bgColor indexed="64"/>
      </patternFill>
    </fill>
    <fill>
      <patternFill patternType="solid">
        <fgColor indexed="50"/>
        <bgColor indexed="64"/>
      </patternFill>
    </fill>
    <fill>
      <patternFill patternType="solid">
        <fgColor indexed="43"/>
        <bgColor indexed="64"/>
      </patternFill>
    </fill>
    <fill>
      <patternFill patternType="solid">
        <fgColor indexed="16"/>
        <bgColor indexed="64"/>
      </patternFill>
    </fill>
    <fill>
      <patternFill patternType="solid">
        <fgColor indexed="11"/>
        <bgColor indexed="64"/>
      </patternFill>
    </fill>
    <fill>
      <patternFill patternType="solid">
        <fgColor indexed="9"/>
        <bgColor indexed="64"/>
      </patternFill>
    </fill>
  </fills>
  <borders count="41">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diagonalUp="1" diagonalDown="1">
      <left>
        <color indexed="63"/>
      </left>
      <right>
        <color indexed="63"/>
      </right>
      <top>
        <color indexed="63"/>
      </top>
      <bottom>
        <color indexed="63"/>
      </bottom>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diagonalUp="1">
      <left>
        <color indexed="63"/>
      </left>
      <right>
        <color indexed="63"/>
      </right>
      <top>
        <color indexed="63"/>
      </top>
      <bottom>
        <color indexed="63"/>
      </bottom>
      <diagonal style="thin"/>
    </border>
    <border>
      <left style="thin"/>
      <right>
        <color indexed="63"/>
      </right>
      <top style="thin"/>
      <bottom style="thin"/>
    </border>
    <border>
      <left>
        <color indexed="63"/>
      </left>
      <right>
        <color indexed="63"/>
      </right>
      <top style="thin"/>
      <bottom style="thin"/>
    </border>
    <border diagonalUp="1">
      <left style="thin"/>
      <right style="thin"/>
      <top style="thin"/>
      <bottom style="thin"/>
      <diagonal style="thin"/>
    </border>
    <border>
      <left>
        <color indexed="63"/>
      </left>
      <right style="thin"/>
      <top style="thin"/>
      <bottom style="thin"/>
    </border>
    <border>
      <left style="thin"/>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style="thin"/>
    </border>
    <border>
      <left>
        <color indexed="63"/>
      </left>
      <right style="thick"/>
      <top>
        <color indexed="63"/>
      </top>
      <bottom style="thin"/>
    </border>
    <border>
      <left style="thick"/>
      <right>
        <color indexed="63"/>
      </right>
      <top style="thin"/>
      <bottom>
        <color indexed="63"/>
      </bottom>
    </border>
    <border>
      <left>
        <color indexed="63"/>
      </left>
      <right style="thick"/>
      <top style="thin"/>
      <bottom>
        <color indexed="63"/>
      </bottom>
    </border>
    <border>
      <left style="medium"/>
      <right style="medium"/>
      <top>
        <color indexed="63"/>
      </top>
      <bottom style="medium"/>
    </border>
  </borders>
  <cellStyleXfs count="22">
    <xf numFmtId="0" fontId="9"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396">
    <xf numFmtId="0" fontId="0" fillId="0" borderId="0" xfId="0" applyAlignment="1">
      <alignment/>
    </xf>
    <xf numFmtId="0" fontId="0" fillId="0" borderId="0" xfId="0" applyAlignment="1">
      <alignment wrapText="1"/>
    </xf>
    <xf numFmtId="10" fontId="0" fillId="0" borderId="0" xfId="0" applyNumberFormat="1" applyAlignment="1">
      <alignment/>
    </xf>
    <xf numFmtId="14" fontId="0" fillId="0" borderId="0" xfId="0" applyNumberFormat="1" applyAlignment="1">
      <alignment/>
    </xf>
    <xf numFmtId="5" fontId="0" fillId="0" borderId="0" xfId="0" applyNumberFormat="1" applyAlignment="1">
      <alignment/>
    </xf>
    <xf numFmtId="0" fontId="4" fillId="0" borderId="0" xfId="0" applyFont="1" applyAlignment="1">
      <alignment wrapText="1"/>
    </xf>
    <xf numFmtId="0" fontId="1" fillId="0" borderId="0" xfId="0" applyFont="1" applyAlignment="1">
      <alignment/>
    </xf>
    <xf numFmtId="0" fontId="3" fillId="0" borderId="0" xfId="0" applyFont="1" applyAlignment="1">
      <alignment/>
    </xf>
    <xf numFmtId="0" fontId="1" fillId="0" borderId="0" xfId="0" applyFont="1" applyAlignment="1">
      <alignment wrapText="1"/>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0" xfId="0" applyBorder="1" applyAlignment="1">
      <alignment/>
    </xf>
    <xf numFmtId="0" fontId="0" fillId="0" borderId="4" xfId="0" applyBorder="1" applyAlignment="1">
      <alignment/>
    </xf>
    <xf numFmtId="0" fontId="0" fillId="0" borderId="5" xfId="0" applyBorder="1" applyAlignment="1">
      <alignment/>
    </xf>
    <xf numFmtId="14" fontId="0" fillId="0" borderId="2" xfId="0" applyNumberFormat="1" applyBorder="1" applyAlignment="1">
      <alignment/>
    </xf>
    <xf numFmtId="14" fontId="0" fillId="0" borderId="0" xfId="0" applyNumberFormat="1" applyBorder="1" applyAlignment="1">
      <alignment/>
    </xf>
    <xf numFmtId="14" fontId="0" fillId="0" borderId="5" xfId="0" applyNumberFormat="1" applyBorder="1" applyAlignment="1">
      <alignment/>
    </xf>
    <xf numFmtId="180" fontId="0" fillId="0" borderId="2" xfId="0" applyNumberFormat="1" applyBorder="1" applyAlignment="1">
      <alignment/>
    </xf>
    <xf numFmtId="180" fontId="0" fillId="0" borderId="0" xfId="0" applyNumberFormat="1" applyBorder="1" applyAlignment="1">
      <alignment/>
    </xf>
    <xf numFmtId="180" fontId="0" fillId="0" borderId="5" xfId="0" applyNumberFormat="1" applyBorder="1" applyAlignment="1">
      <alignment/>
    </xf>
    <xf numFmtId="20" fontId="0" fillId="0" borderId="0" xfId="0" applyNumberFormat="1" applyAlignment="1">
      <alignment/>
    </xf>
    <xf numFmtId="0" fontId="0" fillId="0" borderId="6" xfId="0" applyBorder="1" applyAlignment="1">
      <alignment/>
    </xf>
    <xf numFmtId="10" fontId="0" fillId="0" borderId="6" xfId="0" applyNumberFormat="1" applyBorder="1" applyAlignment="1">
      <alignment/>
    </xf>
    <xf numFmtId="5" fontId="0" fillId="0" borderId="7" xfId="0" applyNumberFormat="1" applyBorder="1" applyAlignment="1">
      <alignment/>
    </xf>
    <xf numFmtId="5" fontId="0" fillId="0" borderId="8" xfId="0" applyNumberFormat="1" applyBorder="1" applyAlignment="1">
      <alignment/>
    </xf>
    <xf numFmtId="5" fontId="0" fillId="0" borderId="9" xfId="0" applyNumberFormat="1" applyBorder="1" applyAlignment="1">
      <alignment/>
    </xf>
    <xf numFmtId="20" fontId="0" fillId="0" borderId="2" xfId="0" applyNumberFormat="1" applyBorder="1" applyAlignment="1">
      <alignment/>
    </xf>
    <xf numFmtId="10" fontId="0" fillId="0" borderId="2" xfId="0" applyNumberFormat="1" applyBorder="1" applyAlignment="1">
      <alignment/>
    </xf>
    <xf numFmtId="20" fontId="0" fillId="0" borderId="0" xfId="0" applyNumberFormat="1" applyBorder="1" applyAlignment="1">
      <alignment/>
    </xf>
    <xf numFmtId="10" fontId="0" fillId="0" borderId="0" xfId="0" applyNumberFormat="1" applyBorder="1" applyAlignment="1">
      <alignment/>
    </xf>
    <xf numFmtId="0" fontId="0" fillId="0" borderId="8" xfId="0" applyBorder="1" applyAlignment="1">
      <alignment/>
    </xf>
    <xf numFmtId="0" fontId="0" fillId="0" borderId="3" xfId="0" applyBorder="1" applyAlignment="1">
      <alignment wrapText="1"/>
    </xf>
    <xf numFmtId="0" fontId="0" fillId="0" borderId="4" xfId="0" applyBorder="1" applyAlignment="1">
      <alignment wrapText="1"/>
    </xf>
    <xf numFmtId="7" fontId="5" fillId="0" borderId="0" xfId="16" applyNumberFormat="1" applyAlignment="1">
      <alignment/>
    </xf>
    <xf numFmtId="20" fontId="0" fillId="0" borderId="0" xfId="0" applyNumberFormat="1" applyAlignment="1">
      <alignment horizontal="right"/>
    </xf>
    <xf numFmtId="14" fontId="0" fillId="0" borderId="0" xfId="0" applyNumberFormat="1" applyAlignment="1">
      <alignment horizontal="right"/>
    </xf>
    <xf numFmtId="0" fontId="5" fillId="0" borderId="0" xfId="16" applyAlignment="1">
      <alignment/>
    </xf>
    <xf numFmtId="10" fontId="0" fillId="0" borderId="0" xfId="0" applyNumberFormat="1" applyAlignment="1" applyProtection="1">
      <alignment/>
      <protection/>
    </xf>
    <xf numFmtId="185" fontId="0" fillId="0" borderId="0" xfId="0" applyNumberFormat="1" applyBorder="1" applyAlignment="1">
      <alignment/>
    </xf>
    <xf numFmtId="183" fontId="0" fillId="0" borderId="0" xfId="0" applyNumberFormat="1" applyBorder="1" applyAlignment="1">
      <alignment/>
    </xf>
    <xf numFmtId="189" fontId="0" fillId="0" borderId="0" xfId="0" applyNumberFormat="1" applyBorder="1" applyAlignment="1">
      <alignment/>
    </xf>
    <xf numFmtId="0" fontId="5" fillId="0" borderId="7" xfId="16" applyBorder="1" applyAlignment="1">
      <alignment/>
    </xf>
    <xf numFmtId="0" fontId="5" fillId="0" borderId="8" xfId="16" applyBorder="1" applyAlignment="1">
      <alignment/>
    </xf>
    <xf numFmtId="22" fontId="0" fillId="0" borderId="0" xfId="0" applyNumberFormat="1" applyAlignment="1">
      <alignment/>
    </xf>
    <xf numFmtId="0" fontId="8" fillId="0" borderId="0" xfId="0" applyFont="1" applyAlignment="1">
      <alignment/>
    </xf>
    <xf numFmtId="180" fontId="0" fillId="0" borderId="0" xfId="0" applyNumberFormat="1" applyAlignment="1">
      <alignment/>
    </xf>
    <xf numFmtId="179" fontId="0" fillId="0" borderId="0" xfId="0" applyNumberFormat="1" applyAlignment="1">
      <alignment/>
    </xf>
    <xf numFmtId="0" fontId="10" fillId="0" borderId="0" xfId="0" applyFont="1" applyAlignment="1">
      <alignment/>
    </xf>
    <xf numFmtId="0" fontId="10" fillId="0" borderId="10" xfId="0" applyFont="1" applyBorder="1" applyAlignment="1">
      <alignment/>
    </xf>
    <xf numFmtId="0" fontId="0" fillId="0" borderId="11" xfId="0" applyBorder="1" applyAlignment="1">
      <alignment/>
    </xf>
    <xf numFmtId="0" fontId="0" fillId="0" borderId="0" xfId="0" applyNumberFormat="1" applyAlignment="1">
      <alignment/>
    </xf>
    <xf numFmtId="0" fontId="10" fillId="0" borderId="12" xfId="0" applyFont="1" applyBorder="1" applyAlignment="1">
      <alignment/>
    </xf>
    <xf numFmtId="0" fontId="9" fillId="0" borderId="0" xfId="0" applyBorder="1" applyAlignment="1">
      <alignment/>
    </xf>
    <xf numFmtId="56" fontId="0" fillId="2" borderId="0" xfId="0" applyNumberFormat="1" applyFill="1" applyAlignment="1">
      <alignment/>
    </xf>
    <xf numFmtId="22" fontId="0" fillId="0" borderId="2" xfId="0" applyNumberFormat="1" applyBorder="1" applyAlignment="1">
      <alignment/>
    </xf>
    <xf numFmtId="179" fontId="0" fillId="0" borderId="7" xfId="0" applyNumberFormat="1" applyBorder="1" applyAlignment="1">
      <alignment/>
    </xf>
    <xf numFmtId="0" fontId="0" fillId="0" borderId="0" xfId="0" applyNumberFormat="1" applyBorder="1" applyAlignment="1">
      <alignment/>
    </xf>
    <xf numFmtId="22" fontId="0" fillId="0" borderId="0" xfId="0" applyNumberFormat="1" applyBorder="1" applyAlignment="1">
      <alignment/>
    </xf>
    <xf numFmtId="3" fontId="0" fillId="0" borderId="8" xfId="0" applyNumberFormat="1" applyBorder="1" applyAlignment="1">
      <alignment/>
    </xf>
    <xf numFmtId="0" fontId="0" fillId="0" borderId="5" xfId="0" applyNumberFormat="1" applyBorder="1" applyAlignment="1">
      <alignment/>
    </xf>
    <xf numFmtId="0" fontId="0" fillId="0" borderId="0" xfId="0" applyNumberFormat="1" applyAlignment="1">
      <alignment wrapText="1"/>
    </xf>
    <xf numFmtId="0" fontId="9" fillId="0" borderId="0" xfId="0" applyAlignment="1">
      <alignment/>
    </xf>
    <xf numFmtId="181" fontId="11" fillId="0" borderId="13" xfId="0" applyNumberFormat="1" applyFont="1" applyBorder="1" applyAlignment="1">
      <alignment/>
    </xf>
    <xf numFmtId="5" fontId="11" fillId="0" borderId="13" xfId="0" applyNumberFormat="1" applyFont="1" applyBorder="1" applyAlignment="1">
      <alignment/>
    </xf>
    <xf numFmtId="0" fontId="4" fillId="0" borderId="0" xfId="0" applyFont="1" applyAlignment="1">
      <alignment/>
    </xf>
    <xf numFmtId="181" fontId="0" fillId="0" borderId="0" xfId="0" applyNumberFormat="1" applyAlignment="1">
      <alignment/>
    </xf>
    <xf numFmtId="0" fontId="0" fillId="0" borderId="0" xfId="0" applyFill="1" applyBorder="1" applyAlignment="1">
      <alignment/>
    </xf>
    <xf numFmtId="0" fontId="0" fillId="0" borderId="5" xfId="0" applyFill="1" applyBorder="1" applyAlignment="1">
      <alignment/>
    </xf>
    <xf numFmtId="0" fontId="12" fillId="0" borderId="0" xfId="0" applyFont="1" applyAlignment="1">
      <alignment/>
    </xf>
    <xf numFmtId="0" fontId="9" fillId="0" borderId="0" xfId="0" applyNumberFormat="1" applyFont="1" applyAlignment="1">
      <alignment/>
    </xf>
    <xf numFmtId="56" fontId="0" fillId="0" borderId="0" xfId="0" applyNumberFormat="1" applyAlignment="1">
      <alignment/>
    </xf>
    <xf numFmtId="0" fontId="1" fillId="0" borderId="14" xfId="0" applyNumberFormat="1" applyFont="1" applyBorder="1" applyAlignment="1">
      <alignment/>
    </xf>
    <xf numFmtId="0" fontId="0" fillId="0" borderId="3" xfId="0" applyBorder="1" applyAlignment="1" quotePrefix="1">
      <alignment wrapText="1"/>
    </xf>
    <xf numFmtId="56" fontId="0" fillId="0" borderId="0" xfId="0" applyNumberFormat="1" applyBorder="1" applyAlignment="1">
      <alignment/>
    </xf>
    <xf numFmtId="0" fontId="3" fillId="0" borderId="0" xfId="0" applyFont="1" applyBorder="1" applyAlignment="1">
      <alignment/>
    </xf>
    <xf numFmtId="0" fontId="0" fillId="0" borderId="0" xfId="0" applyBorder="1" applyAlignment="1">
      <alignment wrapText="1"/>
    </xf>
    <xf numFmtId="10" fontId="0" fillId="0" borderId="0" xfId="0" applyNumberFormat="1" applyFill="1" applyAlignment="1">
      <alignment/>
    </xf>
    <xf numFmtId="0" fontId="5" fillId="0" borderId="0" xfId="16" applyBorder="1" applyAlignment="1">
      <alignment/>
    </xf>
    <xf numFmtId="49" fontId="0" fillId="0" borderId="0" xfId="0" applyNumberFormat="1" applyFont="1" applyAlignment="1">
      <alignment/>
    </xf>
    <xf numFmtId="184" fontId="0" fillId="0" borderId="0" xfId="0" applyNumberFormat="1" applyBorder="1" applyAlignment="1">
      <alignment/>
    </xf>
    <xf numFmtId="0" fontId="0" fillId="3" borderId="15" xfId="0" applyFill="1" applyBorder="1" applyAlignment="1">
      <alignment/>
    </xf>
    <xf numFmtId="0" fontId="0" fillId="3" borderId="16" xfId="0" applyFill="1" applyBorder="1" applyAlignment="1">
      <alignment/>
    </xf>
    <xf numFmtId="0" fontId="0" fillId="3" borderId="17" xfId="0" applyFill="1" applyBorder="1" applyAlignment="1">
      <alignment/>
    </xf>
    <xf numFmtId="5" fontId="11" fillId="0" borderId="18" xfId="0" applyNumberFormat="1" applyFont="1" applyBorder="1" applyAlignment="1">
      <alignment/>
    </xf>
    <xf numFmtId="5" fontId="0" fillId="0" borderId="19" xfId="0" applyNumberFormat="1" applyFill="1" applyBorder="1" applyAlignment="1">
      <alignment/>
    </xf>
    <xf numFmtId="0" fontId="0" fillId="0" borderId="0" xfId="0" applyNumberFormat="1" applyFill="1" applyAlignment="1">
      <alignment/>
    </xf>
    <xf numFmtId="185" fontId="0" fillId="0" borderId="0" xfId="0" applyNumberFormat="1" applyFill="1" applyBorder="1" applyAlignment="1">
      <alignment/>
    </xf>
    <xf numFmtId="0" fontId="0" fillId="0" borderId="0" xfId="0" applyNumberFormat="1" applyFill="1" applyAlignment="1">
      <alignment wrapText="1"/>
    </xf>
    <xf numFmtId="7" fontId="0" fillId="0" borderId="0" xfId="0" applyNumberFormat="1" applyFill="1" applyAlignment="1">
      <alignment/>
    </xf>
    <xf numFmtId="56" fontId="0" fillId="4" borderId="0" xfId="0" applyNumberFormat="1" applyFill="1" applyBorder="1" applyAlignment="1">
      <alignment/>
    </xf>
    <xf numFmtId="14" fontId="0" fillId="0" borderId="5" xfId="0" applyNumberFormat="1" applyFill="1" applyBorder="1" applyAlignment="1">
      <alignment/>
    </xf>
    <xf numFmtId="185" fontId="0" fillId="0" borderId="5" xfId="0" applyNumberFormat="1" applyFill="1" applyBorder="1" applyAlignment="1">
      <alignment/>
    </xf>
    <xf numFmtId="184" fontId="0" fillId="0" borderId="5" xfId="0" applyNumberFormat="1" applyFill="1" applyBorder="1" applyAlignment="1">
      <alignment/>
    </xf>
    <xf numFmtId="56" fontId="0" fillId="4" borderId="2" xfId="0" applyNumberFormat="1" applyFill="1" applyBorder="1" applyAlignment="1">
      <alignment/>
    </xf>
    <xf numFmtId="0" fontId="8" fillId="0" borderId="0" xfId="0" applyNumberFormat="1" applyFont="1" applyAlignment="1">
      <alignment/>
    </xf>
    <xf numFmtId="0" fontId="0" fillId="0" borderId="0" xfId="0" applyNumberFormat="1" applyFont="1" applyAlignment="1">
      <alignment/>
    </xf>
    <xf numFmtId="0" fontId="9" fillId="0" borderId="0" xfId="0" applyNumberFormat="1" applyAlignment="1">
      <alignment/>
    </xf>
    <xf numFmtId="7" fontId="0" fillId="0" borderId="0" xfId="0" applyNumberFormat="1" applyAlignment="1">
      <alignment/>
    </xf>
    <xf numFmtId="0" fontId="0" fillId="0" borderId="2" xfId="0" applyNumberFormat="1" applyBorder="1" applyAlignment="1">
      <alignment/>
    </xf>
    <xf numFmtId="4" fontId="0" fillId="0" borderId="0" xfId="0" applyNumberFormat="1" applyAlignment="1">
      <alignment/>
    </xf>
    <xf numFmtId="4" fontId="8" fillId="0" borderId="0" xfId="0" applyNumberFormat="1" applyFont="1" applyAlignment="1">
      <alignment/>
    </xf>
    <xf numFmtId="4" fontId="0" fillId="0" borderId="0" xfId="0" applyNumberFormat="1" applyBorder="1" applyAlignment="1">
      <alignment/>
    </xf>
    <xf numFmtId="0" fontId="0" fillId="0" borderId="0" xfId="0" applyFont="1" applyBorder="1" applyAlignment="1">
      <alignment/>
    </xf>
    <xf numFmtId="4" fontId="0" fillId="4" borderId="0" xfId="0" applyNumberFormat="1" applyFill="1" applyBorder="1" applyAlignment="1">
      <alignment/>
    </xf>
    <xf numFmtId="4" fontId="0" fillId="4" borderId="0" xfId="0" applyNumberFormat="1" applyFill="1" applyBorder="1" applyAlignment="1">
      <alignment wrapText="1"/>
    </xf>
    <xf numFmtId="14" fontId="0" fillId="0" borderId="2" xfId="0" applyNumberFormat="1" applyFill="1" applyBorder="1" applyAlignment="1">
      <alignment/>
    </xf>
    <xf numFmtId="0" fontId="0" fillId="0" borderId="2" xfId="0" applyNumberFormat="1" applyFill="1" applyBorder="1" applyAlignment="1">
      <alignment/>
    </xf>
    <xf numFmtId="56" fontId="0" fillId="0" borderId="2" xfId="0" applyNumberFormat="1" applyBorder="1" applyAlignment="1">
      <alignment/>
    </xf>
    <xf numFmtId="56" fontId="0" fillId="0" borderId="5" xfId="0" applyNumberFormat="1" applyBorder="1" applyAlignment="1">
      <alignment/>
    </xf>
    <xf numFmtId="7" fontId="0" fillId="0" borderId="0" xfId="0" applyNumberFormat="1" applyBorder="1" applyAlignment="1">
      <alignment/>
    </xf>
    <xf numFmtId="7" fontId="5" fillId="0" borderId="0" xfId="16" applyNumberFormat="1" applyAlignment="1" applyProtection="1">
      <alignment/>
      <protection/>
    </xf>
    <xf numFmtId="56" fontId="0" fillId="0" borderId="0" xfId="0" applyNumberFormat="1" applyFill="1" applyBorder="1" applyAlignment="1">
      <alignment/>
    </xf>
    <xf numFmtId="0" fontId="0" fillId="0" borderId="20" xfId="0" applyFill="1" applyBorder="1" applyAlignment="1">
      <alignment/>
    </xf>
    <xf numFmtId="0" fontId="0" fillId="0" borderId="21" xfId="0" applyFill="1" applyBorder="1" applyAlignment="1">
      <alignment/>
    </xf>
    <xf numFmtId="0" fontId="0" fillId="4" borderId="21" xfId="0" applyFill="1" applyBorder="1" applyAlignment="1">
      <alignment/>
    </xf>
    <xf numFmtId="0" fontId="0" fillId="3" borderId="22" xfId="0" applyFill="1" applyBorder="1" applyAlignment="1">
      <alignment/>
    </xf>
    <xf numFmtId="5" fontId="0" fillId="0" borderId="2" xfId="0" applyNumberFormat="1" applyBorder="1" applyAlignment="1">
      <alignment/>
    </xf>
    <xf numFmtId="5" fontId="0" fillId="0" borderId="0" xfId="0" applyNumberFormat="1" applyBorder="1" applyAlignment="1">
      <alignment/>
    </xf>
    <xf numFmtId="5" fontId="0" fillId="0" borderId="5" xfId="0" applyNumberFormat="1" applyBorder="1" applyAlignment="1">
      <alignment/>
    </xf>
    <xf numFmtId="0" fontId="1" fillId="0" borderId="0" xfId="0" applyNumberFormat="1" applyFont="1" applyBorder="1" applyAlignment="1">
      <alignment/>
    </xf>
    <xf numFmtId="0" fontId="0" fillId="0" borderId="0" xfId="0" applyFill="1" applyBorder="1" applyAlignment="1">
      <alignment wrapText="1"/>
    </xf>
    <xf numFmtId="56" fontId="0" fillId="4" borderId="21" xfId="0" applyNumberFormat="1" applyFill="1" applyBorder="1" applyAlignment="1">
      <alignment/>
    </xf>
    <xf numFmtId="0" fontId="0" fillId="0" borderId="0" xfId="0" applyNumberFormat="1" applyFont="1" applyFill="1" applyBorder="1" applyAlignment="1">
      <alignment/>
    </xf>
    <xf numFmtId="198" fontId="0" fillId="0" borderId="0" xfId="0" applyNumberFormat="1" applyAlignment="1">
      <alignment horizontal="right"/>
    </xf>
    <xf numFmtId="183" fontId="0" fillId="0" borderId="0" xfId="0" applyNumberFormat="1" applyAlignment="1">
      <alignment/>
    </xf>
    <xf numFmtId="4" fontId="0" fillId="4" borderId="2" xfId="0" applyNumberFormat="1" applyFill="1" applyBorder="1" applyAlignment="1">
      <alignment wrapText="1"/>
    </xf>
    <xf numFmtId="56" fontId="0" fillId="0" borderId="5" xfId="0" applyNumberFormat="1" applyFill="1" applyBorder="1" applyAlignment="1">
      <alignment/>
    </xf>
    <xf numFmtId="0" fontId="0" fillId="3" borderId="8" xfId="0" applyFill="1" applyBorder="1" applyAlignment="1">
      <alignment/>
    </xf>
    <xf numFmtId="0" fontId="0" fillId="0" borderId="3" xfId="0" applyFill="1" applyBorder="1" applyAlignment="1">
      <alignment/>
    </xf>
    <xf numFmtId="3" fontId="0" fillId="4" borderId="2" xfId="0" applyNumberFormat="1" applyFill="1" applyBorder="1" applyAlignment="1">
      <alignment/>
    </xf>
    <xf numFmtId="3" fontId="0" fillId="4" borderId="0" xfId="0" applyNumberFormat="1" applyFill="1" applyBorder="1" applyAlignment="1">
      <alignment/>
    </xf>
    <xf numFmtId="0" fontId="0" fillId="0" borderId="0" xfId="0" applyNumberFormat="1" applyFont="1" applyAlignment="1">
      <alignment/>
    </xf>
    <xf numFmtId="7" fontId="0" fillId="0" borderId="5" xfId="0" applyNumberFormat="1" applyBorder="1" applyAlignment="1">
      <alignment/>
    </xf>
    <xf numFmtId="0" fontId="0" fillId="0" borderId="8" xfId="0" applyNumberFormat="1" applyBorder="1" applyAlignment="1">
      <alignment/>
    </xf>
    <xf numFmtId="22" fontId="0" fillId="0" borderId="5" xfId="0" applyNumberFormat="1" applyBorder="1" applyAlignment="1">
      <alignment/>
    </xf>
    <xf numFmtId="0" fontId="0" fillId="0" borderId="9" xfId="0" applyNumberFormat="1" applyBorder="1" applyAlignment="1">
      <alignment/>
    </xf>
    <xf numFmtId="3" fontId="0" fillId="0" borderId="0" xfId="0" applyNumberFormat="1" applyBorder="1" applyAlignment="1">
      <alignment/>
    </xf>
    <xf numFmtId="3" fontId="0" fillId="0" borderId="5" xfId="0" applyNumberFormat="1" applyBorder="1" applyAlignment="1">
      <alignment/>
    </xf>
    <xf numFmtId="179" fontId="0" fillId="0" borderId="0" xfId="0" applyNumberFormat="1" applyBorder="1" applyAlignment="1">
      <alignment/>
    </xf>
    <xf numFmtId="190" fontId="0" fillId="0" borderId="0" xfId="0" applyNumberFormat="1" applyAlignment="1">
      <alignment/>
    </xf>
    <xf numFmtId="3" fontId="0" fillId="0" borderId="0" xfId="0" applyNumberFormat="1" applyAlignment="1">
      <alignment/>
    </xf>
    <xf numFmtId="182" fontId="0" fillId="0" borderId="0" xfId="0" applyNumberFormat="1" applyAlignment="1">
      <alignment/>
    </xf>
    <xf numFmtId="0" fontId="0" fillId="0" borderId="20" xfId="0" applyBorder="1" applyAlignment="1">
      <alignment/>
    </xf>
    <xf numFmtId="0" fontId="0" fillId="0" borderId="21" xfId="0" applyBorder="1" applyAlignment="1">
      <alignment/>
    </xf>
    <xf numFmtId="14" fontId="0" fillId="0" borderId="21" xfId="0" applyNumberFormat="1" applyBorder="1" applyAlignment="1">
      <alignment/>
    </xf>
    <xf numFmtId="180" fontId="0" fillId="0" borderId="21" xfId="0" applyNumberFormat="1" applyBorder="1" applyAlignment="1">
      <alignment/>
    </xf>
    <xf numFmtId="5" fontId="0" fillId="0" borderId="23" xfId="0" applyNumberFormat="1" applyBorder="1" applyAlignment="1">
      <alignment/>
    </xf>
    <xf numFmtId="0" fontId="0" fillId="3" borderId="24" xfId="0" applyFill="1" applyBorder="1" applyAlignment="1">
      <alignment/>
    </xf>
    <xf numFmtId="10" fontId="0" fillId="4" borderId="21" xfId="0" applyNumberFormat="1" applyFill="1" applyBorder="1" applyAlignment="1">
      <alignment/>
    </xf>
    <xf numFmtId="185" fontId="0" fillId="3" borderId="17" xfId="0" applyNumberFormat="1" applyFill="1" applyBorder="1" applyAlignment="1">
      <alignment/>
    </xf>
    <xf numFmtId="5" fontId="11" fillId="0" borderId="13" xfId="0" applyNumberFormat="1" applyFont="1" applyFill="1" applyBorder="1" applyAlignment="1">
      <alignment/>
    </xf>
    <xf numFmtId="4" fontId="0" fillId="0" borderId="7" xfId="0" applyNumberFormat="1" applyBorder="1" applyAlignment="1">
      <alignment/>
    </xf>
    <xf numFmtId="4" fontId="0" fillId="0" borderId="8" xfId="0" applyNumberFormat="1" applyBorder="1" applyAlignment="1">
      <alignment/>
    </xf>
    <xf numFmtId="0" fontId="0" fillId="0" borderId="9" xfId="0" applyBorder="1" applyAlignment="1">
      <alignment/>
    </xf>
    <xf numFmtId="0" fontId="0" fillId="0" borderId="0" xfId="0" applyAlignment="1">
      <alignment horizontal="left" indent="1"/>
    </xf>
    <xf numFmtId="14" fontId="0" fillId="0" borderId="0" xfId="0" applyNumberFormat="1" applyAlignment="1">
      <alignment horizontal="left" indent="1"/>
    </xf>
    <xf numFmtId="0" fontId="0" fillId="0" borderId="0" xfId="0" applyNumberFormat="1" applyAlignment="1">
      <alignment horizontal="left" indent="1"/>
    </xf>
    <xf numFmtId="0" fontId="0" fillId="0" borderId="0" xfId="0" applyNumberFormat="1" applyFont="1" applyAlignment="1">
      <alignment horizontal="left" indent="1"/>
    </xf>
    <xf numFmtId="0" fontId="8" fillId="0" borderId="0" xfId="0" applyNumberFormat="1" applyFont="1" applyAlignment="1">
      <alignment horizontal="left" indent="1"/>
    </xf>
    <xf numFmtId="0" fontId="9" fillId="0" borderId="0" xfId="0" applyNumberFormat="1" applyAlignment="1">
      <alignment horizontal="left" indent="1"/>
    </xf>
    <xf numFmtId="4" fontId="8" fillId="0" borderId="0" xfId="0" applyNumberFormat="1" applyFont="1" applyAlignment="1">
      <alignment horizontal="left" indent="1"/>
    </xf>
    <xf numFmtId="4" fontId="0" fillId="0" borderId="0" xfId="0" applyNumberFormat="1" applyAlignment="1">
      <alignment horizontal="left" indent="1"/>
    </xf>
    <xf numFmtId="4" fontId="0" fillId="0" borderId="0" xfId="0" applyNumberFormat="1" applyAlignment="1">
      <alignment horizontal="left" wrapText="1" indent="1"/>
    </xf>
    <xf numFmtId="197" fontId="0" fillId="0" borderId="0" xfId="0" applyNumberFormat="1" applyAlignment="1">
      <alignment/>
    </xf>
    <xf numFmtId="10" fontId="0" fillId="0" borderId="5" xfId="0" applyNumberFormat="1" applyBorder="1" applyAlignment="1">
      <alignment/>
    </xf>
    <xf numFmtId="14" fontId="13" fillId="0" borderId="0" xfId="0" applyNumberFormat="1" applyFont="1" applyAlignment="1">
      <alignment/>
    </xf>
    <xf numFmtId="0" fontId="13" fillId="0" borderId="0" xfId="0" applyFont="1" applyAlignment="1">
      <alignment/>
    </xf>
    <xf numFmtId="4" fontId="0" fillId="0" borderId="0" xfId="0" applyNumberFormat="1" applyFill="1" applyAlignment="1">
      <alignment wrapText="1"/>
    </xf>
    <xf numFmtId="0" fontId="0" fillId="4" borderId="2" xfId="0" applyFill="1" applyBorder="1" applyAlignment="1">
      <alignment/>
    </xf>
    <xf numFmtId="10" fontId="0" fillId="4" borderId="2" xfId="0" applyNumberFormat="1" applyFill="1" applyBorder="1" applyAlignment="1">
      <alignment/>
    </xf>
    <xf numFmtId="185" fontId="0" fillId="3" borderId="15" xfId="0" applyNumberFormat="1" applyFill="1" applyBorder="1" applyAlignment="1">
      <alignment/>
    </xf>
    <xf numFmtId="0" fontId="0" fillId="4" borderId="5" xfId="0" applyFill="1" applyBorder="1" applyAlignment="1">
      <alignment/>
    </xf>
    <xf numFmtId="10" fontId="0" fillId="4" borderId="5" xfId="0" applyNumberFormat="1" applyFill="1" applyBorder="1" applyAlignment="1">
      <alignment/>
    </xf>
    <xf numFmtId="20" fontId="0" fillId="2" borderId="0" xfId="0" applyNumberFormat="1" applyFill="1" applyAlignment="1">
      <alignment horizontal="right"/>
    </xf>
    <xf numFmtId="20" fontId="0" fillId="2" borderId="0" xfId="0" applyNumberFormat="1" applyFill="1" applyAlignment="1">
      <alignment/>
    </xf>
    <xf numFmtId="20" fontId="0" fillId="0" borderId="0" xfId="0" applyNumberFormat="1" applyFill="1" applyAlignment="1">
      <alignment/>
    </xf>
    <xf numFmtId="198" fontId="0" fillId="0" borderId="0" xfId="0" applyNumberFormat="1" applyBorder="1" applyAlignment="1">
      <alignment/>
    </xf>
    <xf numFmtId="56" fontId="9" fillId="0" borderId="0" xfId="0" applyNumberFormat="1" applyAlignment="1">
      <alignment/>
    </xf>
    <xf numFmtId="0" fontId="0" fillId="4" borderId="0" xfId="0" applyFill="1" applyAlignment="1">
      <alignment/>
    </xf>
    <xf numFmtId="0" fontId="5" fillId="4" borderId="0" xfId="16" applyFill="1" applyAlignment="1">
      <alignment/>
    </xf>
    <xf numFmtId="56" fontId="0" fillId="4" borderId="0" xfId="0" applyNumberFormat="1" applyFill="1" applyAlignment="1">
      <alignment/>
    </xf>
    <xf numFmtId="56" fontId="0" fillId="4" borderId="5" xfId="0" applyNumberFormat="1" applyFill="1" applyBorder="1" applyAlignment="1">
      <alignment/>
    </xf>
    <xf numFmtId="14" fontId="8" fillId="0" borderId="0" xfId="0" applyNumberFormat="1" applyFont="1" applyAlignment="1">
      <alignment/>
    </xf>
    <xf numFmtId="14" fontId="0" fillId="3" borderId="0" xfId="0" applyNumberFormat="1" applyFill="1" applyBorder="1" applyAlignment="1">
      <alignment/>
    </xf>
    <xf numFmtId="189" fontId="0" fillId="3" borderId="0" xfId="0" applyNumberFormat="1" applyFill="1" applyBorder="1" applyAlignment="1">
      <alignment/>
    </xf>
    <xf numFmtId="189" fontId="0" fillId="0" borderId="0" xfId="0" applyNumberFormat="1" applyAlignment="1">
      <alignment/>
    </xf>
    <xf numFmtId="189" fontId="0" fillId="0" borderId="0" xfId="0" applyNumberFormat="1" applyFill="1" applyBorder="1" applyAlignment="1">
      <alignment/>
    </xf>
    <xf numFmtId="0" fontId="0" fillId="0" borderId="0" xfId="0" applyFill="1" applyAlignment="1">
      <alignment/>
    </xf>
    <xf numFmtId="182" fontId="0" fillId="0" borderId="0" xfId="0" applyNumberFormat="1" applyFill="1" applyBorder="1" applyAlignment="1">
      <alignment/>
    </xf>
    <xf numFmtId="0" fontId="0" fillId="0" borderId="0" xfId="0" applyNumberFormat="1" applyFill="1" applyBorder="1" applyAlignment="1">
      <alignment/>
    </xf>
    <xf numFmtId="10" fontId="0" fillId="0" borderId="0" xfId="0" applyNumberFormat="1" applyFill="1" applyBorder="1" applyAlignment="1">
      <alignment/>
    </xf>
    <xf numFmtId="5" fontId="4" fillId="0" borderId="7" xfId="0" applyNumberFormat="1" applyFont="1" applyBorder="1" applyAlignment="1">
      <alignment/>
    </xf>
    <xf numFmtId="5" fontId="4" fillId="0" borderId="8" xfId="0" applyNumberFormat="1" applyFont="1" applyBorder="1" applyAlignment="1">
      <alignment/>
    </xf>
    <xf numFmtId="5" fontId="4" fillId="0" borderId="9" xfId="0" applyNumberFormat="1" applyFont="1" applyBorder="1" applyAlignment="1">
      <alignment/>
    </xf>
    <xf numFmtId="5" fontId="4" fillId="0" borderId="2" xfId="0" applyNumberFormat="1" applyFont="1" applyBorder="1" applyAlignment="1">
      <alignment/>
    </xf>
    <xf numFmtId="5" fontId="4" fillId="0" borderId="0" xfId="0" applyNumberFormat="1" applyFont="1" applyBorder="1" applyAlignment="1">
      <alignment/>
    </xf>
    <xf numFmtId="5" fontId="4" fillId="0" borderId="5" xfId="0" applyNumberFormat="1" applyFont="1" applyBorder="1" applyAlignment="1">
      <alignment/>
    </xf>
    <xf numFmtId="5" fontId="4" fillId="0" borderId="23" xfId="0" applyNumberFormat="1" applyFont="1" applyBorder="1" applyAlignment="1">
      <alignment/>
    </xf>
    <xf numFmtId="5" fontId="4" fillId="0" borderId="2" xfId="0" applyNumberFormat="1" applyFont="1" applyFill="1" applyBorder="1" applyAlignment="1">
      <alignment/>
    </xf>
    <xf numFmtId="0" fontId="0" fillId="3" borderId="0" xfId="0" applyNumberFormat="1" applyFill="1" applyBorder="1" applyAlignment="1">
      <alignment/>
    </xf>
    <xf numFmtId="14" fontId="0" fillId="0" borderId="0" xfId="0" applyNumberFormat="1" applyFill="1" applyBorder="1" applyAlignment="1">
      <alignment/>
    </xf>
    <xf numFmtId="7" fontId="0" fillId="0" borderId="2" xfId="0" applyNumberFormat="1" applyBorder="1" applyAlignment="1">
      <alignment/>
    </xf>
    <xf numFmtId="184" fontId="0" fillId="0" borderId="23" xfId="0" applyNumberFormat="1" applyFill="1" applyBorder="1" applyAlignment="1">
      <alignment/>
    </xf>
    <xf numFmtId="7" fontId="4" fillId="0" borderId="0" xfId="0" applyNumberFormat="1" applyFont="1" applyBorder="1" applyAlignment="1">
      <alignment/>
    </xf>
    <xf numFmtId="7" fontId="4" fillId="0" borderId="5" xfId="0" applyNumberFormat="1" applyFont="1" applyBorder="1" applyAlignment="1">
      <alignment/>
    </xf>
    <xf numFmtId="5" fontId="0" fillId="3" borderId="15" xfId="0" applyNumberFormat="1" applyFill="1" applyBorder="1" applyAlignment="1">
      <alignment/>
    </xf>
    <xf numFmtId="5" fontId="0" fillId="3" borderId="16" xfId="0" applyNumberFormat="1" applyFill="1" applyBorder="1" applyAlignment="1">
      <alignment/>
    </xf>
    <xf numFmtId="5" fontId="0" fillId="3" borderId="17" xfId="0" applyNumberFormat="1" applyFill="1" applyBorder="1" applyAlignment="1">
      <alignment/>
    </xf>
    <xf numFmtId="185" fontId="0" fillId="3" borderId="24" xfId="0" applyNumberFormat="1" applyFill="1" applyBorder="1" applyAlignment="1">
      <alignment/>
    </xf>
    <xf numFmtId="184" fontId="4" fillId="0" borderId="21" xfId="0" applyNumberFormat="1" applyFont="1" applyFill="1" applyBorder="1" applyAlignment="1">
      <alignment/>
    </xf>
    <xf numFmtId="5" fontId="4" fillId="0" borderId="0" xfId="0" applyNumberFormat="1" applyFont="1" applyFill="1" applyBorder="1" applyAlignment="1">
      <alignment/>
    </xf>
    <xf numFmtId="0" fontId="0" fillId="0" borderId="5" xfId="0" applyNumberFormat="1" applyFill="1" applyBorder="1" applyAlignment="1">
      <alignment/>
    </xf>
    <xf numFmtId="5" fontId="4" fillId="0" borderId="5" xfId="0" applyNumberFormat="1" applyFont="1" applyFill="1" applyBorder="1" applyAlignment="1">
      <alignment/>
    </xf>
    <xf numFmtId="5" fontId="4" fillId="0" borderId="7" xfId="0" applyNumberFormat="1" applyFont="1" applyFill="1" applyBorder="1" applyAlignment="1">
      <alignment/>
    </xf>
    <xf numFmtId="5" fontId="4" fillId="0" borderId="8" xfId="0" applyNumberFormat="1" applyFont="1" applyFill="1" applyBorder="1" applyAlignment="1">
      <alignment/>
    </xf>
    <xf numFmtId="5" fontId="4" fillId="0" borderId="9" xfId="0" applyNumberFormat="1" applyFont="1" applyFill="1" applyBorder="1" applyAlignment="1">
      <alignment/>
    </xf>
    <xf numFmtId="5" fontId="0" fillId="0" borderId="0" xfId="0" applyNumberFormat="1" applyFill="1" applyAlignment="1" applyProtection="1">
      <alignment/>
      <protection locked="0"/>
    </xf>
    <xf numFmtId="0" fontId="9" fillId="0" borderId="0" xfId="0" applyFont="1" applyAlignment="1">
      <alignment/>
    </xf>
    <xf numFmtId="196" fontId="0" fillId="0" borderId="0" xfId="0" applyNumberFormat="1" applyAlignment="1">
      <alignment/>
    </xf>
    <xf numFmtId="200" fontId="0" fillId="0" borderId="0" xfId="0" applyNumberFormat="1" applyBorder="1" applyAlignment="1">
      <alignment/>
    </xf>
    <xf numFmtId="194" fontId="0" fillId="0" borderId="0" xfId="0" applyNumberFormat="1" applyAlignment="1">
      <alignment/>
    </xf>
    <xf numFmtId="0" fontId="0" fillId="0" borderId="19" xfId="0" applyBorder="1" applyAlignment="1">
      <alignment/>
    </xf>
    <xf numFmtId="5" fontId="0" fillId="0" borderId="19" xfId="0" applyNumberFormat="1" applyBorder="1" applyAlignment="1">
      <alignment/>
    </xf>
    <xf numFmtId="0" fontId="0" fillId="0" borderId="15" xfId="0" applyBorder="1" applyAlignment="1">
      <alignment/>
    </xf>
    <xf numFmtId="14" fontId="0" fillId="0" borderId="15" xfId="0" applyNumberFormat="1" applyBorder="1" applyAlignment="1">
      <alignment horizontal="right"/>
    </xf>
    <xf numFmtId="14" fontId="0" fillId="0" borderId="16" xfId="0" applyNumberFormat="1" applyBorder="1" applyAlignment="1">
      <alignment horizontal="right"/>
    </xf>
    <xf numFmtId="14" fontId="0" fillId="0" borderId="17" xfId="0" applyNumberFormat="1" applyBorder="1" applyAlignment="1">
      <alignment horizontal="right"/>
    </xf>
    <xf numFmtId="202" fontId="0" fillId="0" borderId="15" xfId="0" applyNumberFormat="1" applyBorder="1" applyAlignment="1">
      <alignment/>
    </xf>
    <xf numFmtId="202" fontId="0" fillId="0" borderId="16" xfId="0" applyNumberFormat="1" applyBorder="1" applyAlignment="1">
      <alignment/>
    </xf>
    <xf numFmtId="202" fontId="0" fillId="0" borderId="17" xfId="0" applyNumberFormat="1" applyBorder="1" applyAlignment="1">
      <alignment/>
    </xf>
    <xf numFmtId="203" fontId="0" fillId="0" borderId="16" xfId="0" applyNumberFormat="1" applyBorder="1" applyAlignment="1">
      <alignment/>
    </xf>
    <xf numFmtId="203" fontId="0" fillId="0" borderId="17" xfId="0" applyNumberFormat="1" applyBorder="1" applyAlignment="1">
      <alignment/>
    </xf>
    <xf numFmtId="202" fontId="0" fillId="0" borderId="0" xfId="0" applyNumberFormat="1" applyAlignment="1">
      <alignment/>
    </xf>
    <xf numFmtId="204" fontId="8" fillId="0" borderId="15" xfId="0" applyNumberFormat="1" applyFont="1" applyBorder="1" applyAlignment="1">
      <alignment/>
    </xf>
    <xf numFmtId="204" fontId="8" fillId="0" borderId="16" xfId="0" applyNumberFormat="1" applyFont="1" applyBorder="1" applyAlignment="1">
      <alignment/>
    </xf>
    <xf numFmtId="204" fontId="8" fillId="0" borderId="17" xfId="0" applyNumberFormat="1" applyFont="1" applyBorder="1" applyAlignment="1">
      <alignment/>
    </xf>
    <xf numFmtId="198" fontId="0" fillId="0" borderId="0" xfId="0" applyNumberFormat="1" applyAlignment="1">
      <alignment/>
    </xf>
    <xf numFmtId="17" fontId="0" fillId="0" borderId="0" xfId="0" applyNumberFormat="1" applyAlignment="1">
      <alignment/>
    </xf>
    <xf numFmtId="3" fontId="0" fillId="0" borderId="0" xfId="0" applyNumberFormat="1" applyFill="1" applyBorder="1" applyAlignment="1">
      <alignment/>
    </xf>
    <xf numFmtId="0" fontId="5" fillId="0" borderId="0" xfId="16" applyFont="1" applyBorder="1" applyAlignment="1">
      <alignment/>
    </xf>
    <xf numFmtId="0" fontId="0" fillId="0" borderId="0" xfId="0" applyFont="1" applyAlignment="1">
      <alignment wrapText="1"/>
    </xf>
    <xf numFmtId="0" fontId="8" fillId="0" borderId="0" xfId="0" applyFont="1" applyAlignment="1">
      <alignment wrapText="1"/>
    </xf>
    <xf numFmtId="191" fontId="0" fillId="0" borderId="0" xfId="0" applyNumberFormat="1" applyAlignment="1">
      <alignment horizontal="right"/>
    </xf>
    <xf numFmtId="0" fontId="0" fillId="5" borderId="0" xfId="0" applyFill="1" applyAlignment="1">
      <alignment/>
    </xf>
    <xf numFmtId="0" fontId="0" fillId="5" borderId="0" xfId="0" applyNumberFormat="1" applyFill="1" applyAlignment="1">
      <alignment/>
    </xf>
    <xf numFmtId="182" fontId="0" fillId="0" borderId="0" xfId="0" applyNumberFormat="1" applyBorder="1" applyAlignment="1">
      <alignment/>
    </xf>
    <xf numFmtId="0" fontId="0" fillId="5" borderId="3" xfId="0" applyFill="1" applyBorder="1" applyAlignment="1">
      <alignment/>
    </xf>
    <xf numFmtId="0" fontId="0" fillId="5" borderId="0" xfId="0" applyFill="1" applyBorder="1" applyAlignment="1">
      <alignment/>
    </xf>
    <xf numFmtId="56" fontId="0" fillId="5" borderId="0" xfId="0" applyNumberFormat="1" applyFill="1" applyBorder="1" applyAlignment="1">
      <alignment/>
    </xf>
    <xf numFmtId="3" fontId="0" fillId="5" borderId="0" xfId="0" applyNumberFormat="1" applyFill="1" applyBorder="1" applyAlignment="1">
      <alignment/>
    </xf>
    <xf numFmtId="0" fontId="0" fillId="5" borderId="0" xfId="0" applyFill="1" applyBorder="1" applyAlignment="1">
      <alignment wrapText="1"/>
    </xf>
    <xf numFmtId="0" fontId="0" fillId="5" borderId="16" xfId="0" applyFill="1" applyBorder="1" applyAlignment="1">
      <alignment/>
    </xf>
    <xf numFmtId="14" fontId="0" fillId="5" borderId="0" xfId="0" applyNumberFormat="1" applyFill="1" applyBorder="1" applyAlignment="1">
      <alignment/>
    </xf>
    <xf numFmtId="189" fontId="0" fillId="5" borderId="0" xfId="0" applyNumberFormat="1" applyFill="1" applyBorder="1" applyAlignment="1">
      <alignment/>
    </xf>
    <xf numFmtId="0" fontId="0" fillId="5" borderId="0" xfId="0" applyNumberFormat="1" applyFill="1" applyBorder="1" applyAlignment="1">
      <alignment/>
    </xf>
    <xf numFmtId="0" fontId="5" fillId="5" borderId="0" xfId="16" applyFill="1" applyAlignment="1">
      <alignment/>
    </xf>
    <xf numFmtId="10" fontId="0" fillId="5" borderId="0" xfId="0" applyNumberFormat="1" applyFill="1" applyBorder="1" applyAlignment="1">
      <alignment/>
    </xf>
    <xf numFmtId="7" fontId="5" fillId="5" borderId="0" xfId="16" applyNumberFormat="1" applyFill="1" applyAlignment="1">
      <alignment/>
    </xf>
    <xf numFmtId="0" fontId="9" fillId="5" borderId="0" xfId="0" applyFill="1" applyAlignment="1">
      <alignment/>
    </xf>
    <xf numFmtId="10" fontId="0" fillId="5" borderId="0" xfId="0" applyNumberFormat="1" applyFill="1" applyAlignment="1">
      <alignment/>
    </xf>
    <xf numFmtId="20" fontId="0" fillId="0" borderId="0" xfId="0" applyNumberFormat="1" applyFill="1" applyBorder="1" applyAlignment="1">
      <alignment/>
    </xf>
    <xf numFmtId="10" fontId="0" fillId="0" borderId="14" xfId="0" applyNumberFormat="1" applyFont="1" applyBorder="1" applyAlignment="1">
      <alignment/>
    </xf>
    <xf numFmtId="206" fontId="0" fillId="0" borderId="0" xfId="0" applyNumberFormat="1" applyAlignment="1">
      <alignment horizontal="left" indent="1"/>
    </xf>
    <xf numFmtId="207" fontId="0" fillId="0" borderId="0" xfId="0" applyNumberFormat="1" applyAlignment="1">
      <alignment/>
    </xf>
    <xf numFmtId="207" fontId="0" fillId="0" borderId="0" xfId="0" applyNumberFormat="1" applyFill="1" applyAlignment="1" applyProtection="1">
      <alignment/>
      <protection locked="0"/>
    </xf>
    <xf numFmtId="207" fontId="0" fillId="0" borderId="19" xfId="0" applyNumberFormat="1" applyFill="1" applyBorder="1" applyAlignment="1">
      <alignment/>
    </xf>
    <xf numFmtId="0" fontId="0" fillId="3" borderId="21" xfId="0" applyFill="1" applyBorder="1" applyAlignment="1">
      <alignment/>
    </xf>
    <xf numFmtId="0" fontId="0" fillId="3" borderId="23" xfId="0" applyNumberFormat="1" applyFill="1" applyBorder="1" applyAlignment="1">
      <alignment/>
    </xf>
    <xf numFmtId="14" fontId="0" fillId="3" borderId="21" xfId="0" applyNumberFormat="1" applyFill="1" applyBorder="1" applyAlignment="1">
      <alignment/>
    </xf>
    <xf numFmtId="14" fontId="0" fillId="5" borderId="0" xfId="0" applyNumberFormat="1" applyFill="1" applyAlignment="1" quotePrefix="1">
      <alignment/>
    </xf>
    <xf numFmtId="0" fontId="0" fillId="0" borderId="7" xfId="0" applyFill="1" applyBorder="1" applyAlignment="1">
      <alignment/>
    </xf>
    <xf numFmtId="0" fontId="0" fillId="0" borderId="8" xfId="0" applyFill="1" applyBorder="1" applyAlignment="1">
      <alignment/>
    </xf>
    <xf numFmtId="0" fontId="0" fillId="0" borderId="9" xfId="0" applyFill="1" applyBorder="1" applyAlignment="1">
      <alignment/>
    </xf>
    <xf numFmtId="0" fontId="0" fillId="0" borderId="25" xfId="0" applyBorder="1" applyAlignment="1">
      <alignment/>
    </xf>
    <xf numFmtId="0" fontId="0" fillId="0" borderId="26" xfId="0" applyBorder="1" applyAlignment="1">
      <alignment/>
    </xf>
    <xf numFmtId="14" fontId="0" fillId="0" borderId="26" xfId="0" applyNumberFormat="1" applyBorder="1" applyAlignment="1">
      <alignment/>
    </xf>
    <xf numFmtId="198" fontId="0" fillId="0" borderId="26" xfId="0" applyNumberFormat="1" applyBorder="1" applyAlignment="1">
      <alignment/>
    </xf>
    <xf numFmtId="0" fontId="0" fillId="0" borderId="26" xfId="0" applyNumberFormat="1" applyBorder="1" applyAlignment="1">
      <alignment/>
    </xf>
    <xf numFmtId="10" fontId="0" fillId="0" borderId="26" xfId="0" applyNumberFormat="1" applyBorder="1" applyAlignment="1">
      <alignment/>
    </xf>
    <xf numFmtId="0" fontId="5" fillId="0" borderId="27" xfId="16" applyBorder="1" applyAlignment="1">
      <alignment/>
    </xf>
    <xf numFmtId="0" fontId="0" fillId="0" borderId="28" xfId="0" applyBorder="1" applyAlignment="1">
      <alignment/>
    </xf>
    <xf numFmtId="0" fontId="5" fillId="0" borderId="29" xfId="16" applyBorder="1" applyAlignment="1">
      <alignment/>
    </xf>
    <xf numFmtId="0" fontId="0" fillId="0" borderId="30" xfId="0" applyBorder="1" applyAlignment="1">
      <alignment/>
    </xf>
    <xf numFmtId="0" fontId="0" fillId="0" borderId="31" xfId="0" applyBorder="1" applyAlignment="1">
      <alignment/>
    </xf>
    <xf numFmtId="14" fontId="0" fillId="0" borderId="31" xfId="0" applyNumberFormat="1" applyBorder="1" applyAlignment="1">
      <alignment/>
    </xf>
    <xf numFmtId="198" fontId="0" fillId="0" borderId="31" xfId="0" applyNumberFormat="1" applyBorder="1" applyAlignment="1">
      <alignment/>
    </xf>
    <xf numFmtId="0" fontId="0" fillId="0" borderId="31" xfId="0" applyNumberFormat="1" applyBorder="1" applyAlignment="1">
      <alignment/>
    </xf>
    <xf numFmtId="10" fontId="0" fillId="0" borderId="31" xfId="0" applyNumberFormat="1" applyBorder="1" applyAlignment="1">
      <alignment/>
    </xf>
    <xf numFmtId="0" fontId="5" fillId="0" borderId="32" xfId="16" applyBorder="1" applyAlignment="1">
      <alignment/>
    </xf>
    <xf numFmtId="3" fontId="0" fillId="0" borderId="31" xfId="0" applyNumberFormat="1" applyFill="1" applyBorder="1" applyAlignment="1">
      <alignment/>
    </xf>
    <xf numFmtId="0" fontId="0" fillId="0" borderId="26" xfId="0" applyFill="1" applyBorder="1" applyAlignment="1">
      <alignment/>
    </xf>
    <xf numFmtId="0" fontId="0" fillId="0" borderId="31" xfId="0" applyFill="1" applyBorder="1" applyAlignment="1">
      <alignment/>
    </xf>
    <xf numFmtId="4" fontId="0" fillId="0" borderId="31" xfId="0" applyNumberFormat="1" applyBorder="1" applyAlignment="1">
      <alignment/>
    </xf>
    <xf numFmtId="4" fontId="0" fillId="0" borderId="26" xfId="0" applyNumberFormat="1" applyBorder="1" applyAlignment="1">
      <alignment/>
    </xf>
    <xf numFmtId="4" fontId="0" fillId="0" borderId="32" xfId="0" applyNumberFormat="1" applyBorder="1" applyAlignment="1">
      <alignment/>
    </xf>
    <xf numFmtId="191" fontId="0" fillId="0" borderId="0" xfId="0" applyNumberFormat="1" applyBorder="1" applyAlignment="1">
      <alignment/>
    </xf>
    <xf numFmtId="208" fontId="0" fillId="0" borderId="0" xfId="0" applyNumberFormat="1" applyAlignment="1">
      <alignment/>
    </xf>
    <xf numFmtId="198" fontId="0" fillId="0" borderId="8" xfId="0" applyNumberFormat="1" applyBorder="1" applyAlignment="1">
      <alignment/>
    </xf>
    <xf numFmtId="198" fontId="0" fillId="0" borderId="9" xfId="0" applyNumberFormat="1" applyBorder="1" applyAlignment="1">
      <alignment/>
    </xf>
    <xf numFmtId="210" fontId="0" fillId="0" borderId="0" xfId="0" applyNumberFormat="1" applyBorder="1" applyAlignment="1">
      <alignment/>
    </xf>
    <xf numFmtId="210" fontId="0" fillId="0" borderId="5" xfId="0" applyNumberFormat="1" applyBorder="1" applyAlignment="1">
      <alignment/>
    </xf>
    <xf numFmtId="208" fontId="0" fillId="4" borderId="0" xfId="0" applyNumberFormat="1" applyFill="1" applyBorder="1" applyAlignment="1">
      <alignment/>
    </xf>
    <xf numFmtId="208" fontId="0" fillId="4" borderId="5" xfId="0" applyNumberFormat="1" applyFill="1" applyBorder="1" applyAlignment="1">
      <alignment/>
    </xf>
    <xf numFmtId="202" fontId="0" fillId="4" borderId="16" xfId="0" applyNumberFormat="1" applyFill="1" applyBorder="1" applyAlignment="1">
      <alignment/>
    </xf>
    <xf numFmtId="0" fontId="16" fillId="0" borderId="0" xfId="0" applyFont="1" applyAlignment="1">
      <alignment/>
    </xf>
    <xf numFmtId="0" fontId="16" fillId="0" borderId="0" xfId="0" applyNumberFormat="1" applyFont="1" applyAlignment="1">
      <alignment/>
    </xf>
    <xf numFmtId="0" fontId="16" fillId="4" borderId="0" xfId="0" applyFont="1" applyFill="1" applyAlignment="1">
      <alignment/>
    </xf>
    <xf numFmtId="0" fontId="16" fillId="0" borderId="0" xfId="0" applyFont="1" applyFill="1" applyAlignment="1">
      <alignment/>
    </xf>
    <xf numFmtId="0" fontId="0" fillId="0" borderId="0" xfId="0" applyNumberFormat="1" applyFill="1" applyBorder="1" applyAlignment="1">
      <alignment wrapText="1"/>
    </xf>
    <xf numFmtId="199" fontId="0" fillId="0" borderId="2" xfId="0" applyNumberFormat="1" applyBorder="1" applyAlignment="1">
      <alignment/>
    </xf>
    <xf numFmtId="199" fontId="0" fillId="0" borderId="5" xfId="0" applyNumberFormat="1" applyBorder="1" applyAlignment="1">
      <alignment/>
    </xf>
    <xf numFmtId="0" fontId="0" fillId="0" borderId="23" xfId="0" applyBorder="1" applyAlignment="1">
      <alignment/>
    </xf>
    <xf numFmtId="208" fontId="0" fillId="4" borderId="2" xfId="0" applyNumberFormat="1" applyFill="1" applyBorder="1" applyAlignment="1">
      <alignment/>
    </xf>
    <xf numFmtId="210" fontId="0" fillId="0" borderId="2" xfId="0" applyNumberFormat="1" applyBorder="1" applyAlignment="1">
      <alignment/>
    </xf>
    <xf numFmtId="198" fontId="0" fillId="0" borderId="7" xfId="0" applyNumberFormat="1" applyBorder="1" applyAlignment="1">
      <alignment/>
    </xf>
    <xf numFmtId="0" fontId="0" fillId="0" borderId="1" xfId="0" applyBorder="1" applyAlignment="1">
      <alignment wrapText="1"/>
    </xf>
    <xf numFmtId="0" fontId="0" fillId="0" borderId="7" xfId="0" applyBorder="1" applyAlignment="1">
      <alignment/>
    </xf>
    <xf numFmtId="0" fontId="0" fillId="3" borderId="0" xfId="0" applyFill="1" applyBorder="1" applyAlignment="1">
      <alignment/>
    </xf>
    <xf numFmtId="198" fontId="0" fillId="0" borderId="2" xfId="0" applyNumberFormat="1" applyBorder="1" applyAlignment="1">
      <alignment/>
    </xf>
    <xf numFmtId="198" fontId="0" fillId="0" borderId="5" xfId="0" applyNumberFormat="1" applyBorder="1" applyAlignment="1">
      <alignment/>
    </xf>
    <xf numFmtId="0" fontId="5" fillId="0" borderId="9" xfId="16" applyBorder="1" applyAlignment="1">
      <alignment/>
    </xf>
    <xf numFmtId="4" fontId="0" fillId="0" borderId="2" xfId="0" applyNumberFormat="1" applyBorder="1" applyAlignment="1">
      <alignment/>
    </xf>
    <xf numFmtId="4" fontId="0" fillId="0" borderId="5" xfId="0" applyNumberFormat="1" applyBorder="1" applyAlignment="1">
      <alignment/>
    </xf>
    <xf numFmtId="0" fontId="9" fillId="0" borderId="28" xfId="0" applyFont="1" applyBorder="1" applyAlignment="1" quotePrefix="1">
      <alignment/>
    </xf>
    <xf numFmtId="0" fontId="0" fillId="0" borderId="28" xfId="0" applyBorder="1" applyAlignment="1" quotePrefix="1">
      <alignment/>
    </xf>
    <xf numFmtId="0" fontId="0" fillId="0" borderId="30" xfId="0" applyBorder="1" applyAlignment="1" quotePrefix="1">
      <alignment/>
    </xf>
    <xf numFmtId="0" fontId="0" fillId="0" borderId="25" xfId="0" applyFont="1" applyBorder="1" applyAlignment="1">
      <alignment/>
    </xf>
    <xf numFmtId="195" fontId="0" fillId="0" borderId="31" xfId="0" applyNumberFormat="1" applyBorder="1" applyAlignment="1">
      <alignment/>
    </xf>
    <xf numFmtId="0" fontId="9" fillId="0" borderId="30" xfId="0" applyFont="1" applyBorder="1" applyAlignment="1" quotePrefix="1">
      <alignment/>
    </xf>
    <xf numFmtId="4" fontId="0" fillId="0" borderId="31" xfId="0" applyNumberFormat="1" applyFill="1" applyBorder="1" applyAlignment="1">
      <alignment/>
    </xf>
    <xf numFmtId="4" fontId="0" fillId="0" borderId="0" xfId="0" applyNumberFormat="1" applyFill="1" applyBorder="1" applyAlignment="1">
      <alignment/>
    </xf>
    <xf numFmtId="195" fontId="0" fillId="0" borderId="0" xfId="0" applyNumberFormat="1" applyBorder="1" applyAlignment="1">
      <alignment/>
    </xf>
    <xf numFmtId="0" fontId="8" fillId="0" borderId="25" xfId="0" applyFont="1" applyBorder="1" applyAlignment="1">
      <alignment/>
    </xf>
    <xf numFmtId="0" fontId="17" fillId="0" borderId="0" xfId="16" applyFont="1" applyFill="1" applyAlignment="1">
      <alignment/>
    </xf>
    <xf numFmtId="0" fontId="9" fillId="0" borderId="33" xfId="0" applyFont="1" applyFill="1" applyBorder="1" applyAlignment="1">
      <alignment/>
    </xf>
    <xf numFmtId="0" fontId="0" fillId="0" borderId="34" xfId="0" applyFill="1" applyBorder="1" applyAlignment="1">
      <alignment/>
    </xf>
    <xf numFmtId="14" fontId="0" fillId="0" borderId="34" xfId="0" applyNumberFormat="1" applyBorder="1" applyAlignment="1">
      <alignment/>
    </xf>
    <xf numFmtId="198" fontId="0" fillId="0" borderId="34" xfId="0" applyNumberFormat="1" applyBorder="1" applyAlignment="1">
      <alignment/>
    </xf>
    <xf numFmtId="4" fontId="0" fillId="0" borderId="34" xfId="0" applyNumberFormat="1" applyBorder="1" applyAlignment="1">
      <alignment/>
    </xf>
    <xf numFmtId="0" fontId="0" fillId="0" borderId="34" xfId="0" applyBorder="1" applyAlignment="1">
      <alignment/>
    </xf>
    <xf numFmtId="10" fontId="0" fillId="0" borderId="34" xfId="0" applyNumberFormat="1" applyBorder="1" applyAlignment="1">
      <alignment/>
    </xf>
    <xf numFmtId="0" fontId="5" fillId="0" borderId="35" xfId="16" applyBorder="1" applyAlignment="1">
      <alignment/>
    </xf>
    <xf numFmtId="56" fontId="0" fillId="0" borderId="21" xfId="0" applyNumberFormat="1" applyFill="1" applyBorder="1" applyAlignment="1">
      <alignment/>
    </xf>
    <xf numFmtId="216" fontId="9" fillId="0" borderId="2" xfId="0" applyNumberFormat="1" applyBorder="1" applyAlignment="1">
      <alignment/>
    </xf>
    <xf numFmtId="216" fontId="9" fillId="0" borderId="0" xfId="0" applyNumberFormat="1" applyBorder="1" applyAlignment="1">
      <alignment/>
    </xf>
    <xf numFmtId="216" fontId="9" fillId="0" borderId="5" xfId="0" applyNumberFormat="1" applyBorder="1" applyAlignment="1">
      <alignment/>
    </xf>
    <xf numFmtId="217" fontId="0" fillId="0" borderId="0" xfId="0" applyNumberFormat="1" applyAlignment="1">
      <alignment/>
    </xf>
    <xf numFmtId="0" fontId="0" fillId="4" borderId="0" xfId="0" applyFill="1" applyBorder="1" applyAlignment="1">
      <alignment/>
    </xf>
    <xf numFmtId="0" fontId="9" fillId="0" borderId="1" xfId="0" applyBorder="1" applyAlignment="1">
      <alignment/>
    </xf>
    <xf numFmtId="0" fontId="9" fillId="0" borderId="3" xfId="0" applyBorder="1" applyAlignment="1">
      <alignment/>
    </xf>
    <xf numFmtId="0" fontId="9" fillId="0" borderId="4" xfId="0" applyBorder="1" applyAlignment="1">
      <alignment/>
    </xf>
    <xf numFmtId="20" fontId="0" fillId="0" borderId="0" xfId="0" applyNumberFormat="1" applyFill="1" applyAlignment="1">
      <alignment horizontal="right"/>
    </xf>
    <xf numFmtId="0" fontId="9" fillId="0" borderId="0" xfId="0" applyFont="1" applyFill="1" applyBorder="1" applyAlignment="1">
      <alignment/>
    </xf>
    <xf numFmtId="0" fontId="5" fillId="0" borderId="32" xfId="16" applyFont="1" applyBorder="1" applyAlignment="1">
      <alignment/>
    </xf>
    <xf numFmtId="14" fontId="0" fillId="4" borderId="16" xfId="0" applyNumberFormat="1" applyFill="1" applyBorder="1" applyAlignment="1">
      <alignment horizontal="right"/>
    </xf>
    <xf numFmtId="207" fontId="9" fillId="0" borderId="0" xfId="0" applyNumberFormat="1" applyAlignment="1">
      <alignment/>
    </xf>
    <xf numFmtId="0" fontId="5" fillId="0" borderId="0" xfId="16" applyAlignment="1">
      <alignment vertical="center"/>
    </xf>
    <xf numFmtId="0" fontId="9" fillId="0" borderId="5" xfId="0" applyBorder="1" applyAlignment="1">
      <alignment/>
    </xf>
    <xf numFmtId="0" fontId="3" fillId="0" borderId="0" xfId="0" applyFont="1" applyAlignment="1">
      <alignment/>
    </xf>
    <xf numFmtId="199" fontId="0" fillId="0" borderId="0" xfId="0" applyNumberFormat="1" applyBorder="1" applyAlignment="1">
      <alignment/>
    </xf>
    <xf numFmtId="10" fontId="0" fillId="0" borderId="7" xfId="0" applyNumberFormat="1" applyBorder="1" applyAlignment="1">
      <alignment/>
    </xf>
    <xf numFmtId="10" fontId="0" fillId="0" borderId="8" xfId="0" applyNumberFormat="1" applyBorder="1" applyAlignment="1">
      <alignment/>
    </xf>
    <xf numFmtId="10" fontId="0" fillId="0" borderId="9" xfId="0" applyNumberFormat="1" applyBorder="1" applyAlignment="1">
      <alignment/>
    </xf>
    <xf numFmtId="0" fontId="0" fillId="0" borderId="7" xfId="0" applyNumberFormat="1" applyBorder="1" applyAlignment="1">
      <alignment/>
    </xf>
    <xf numFmtId="182" fontId="0" fillId="0" borderId="2" xfId="0" applyNumberFormat="1" applyBorder="1" applyAlignment="1">
      <alignment/>
    </xf>
    <xf numFmtId="182" fontId="0" fillId="0" borderId="5" xfId="0" applyNumberFormat="1" applyBorder="1" applyAlignment="1">
      <alignment/>
    </xf>
    <xf numFmtId="218" fontId="0" fillId="0" borderId="0" xfId="0" applyNumberFormat="1" applyAlignment="1">
      <alignment/>
    </xf>
    <xf numFmtId="0" fontId="8" fillId="0" borderId="28" xfId="0" applyFont="1" applyBorder="1" applyAlignment="1">
      <alignment/>
    </xf>
    <xf numFmtId="9" fontId="0" fillId="0" borderId="0" xfId="0" applyNumberFormat="1" applyAlignment="1">
      <alignment/>
    </xf>
    <xf numFmtId="3" fontId="0" fillId="0" borderId="16" xfId="0" applyNumberFormat="1" applyBorder="1" applyAlignment="1">
      <alignment/>
    </xf>
    <xf numFmtId="3" fontId="0" fillId="2" borderId="15" xfId="0" applyNumberFormat="1" applyFill="1" applyBorder="1" applyAlignment="1">
      <alignment/>
    </xf>
    <xf numFmtId="3" fontId="0" fillId="2" borderId="16" xfId="0" applyNumberFormat="1" applyFill="1" applyBorder="1" applyAlignment="1">
      <alignment/>
    </xf>
    <xf numFmtId="3" fontId="0" fillId="2" borderId="17" xfId="0" applyNumberFormat="1" applyFill="1" applyBorder="1" applyAlignment="1">
      <alignment/>
    </xf>
    <xf numFmtId="0" fontId="0" fillId="0" borderId="16" xfId="0" applyBorder="1" applyAlignment="1">
      <alignment/>
    </xf>
    <xf numFmtId="3" fontId="0" fillId="6" borderId="16" xfId="0" applyNumberFormat="1" applyFill="1" applyBorder="1" applyAlignment="1">
      <alignment/>
    </xf>
    <xf numFmtId="3" fontId="0" fillId="6" borderId="17" xfId="0" applyNumberFormat="1" applyFill="1" applyBorder="1" applyAlignment="1">
      <alignment/>
    </xf>
    <xf numFmtId="0" fontId="18" fillId="7" borderId="0" xfId="0" applyFont="1" applyFill="1" applyAlignment="1">
      <alignment vertical="center" wrapText="1"/>
    </xf>
    <xf numFmtId="3" fontId="0" fillId="0" borderId="15" xfId="0" applyNumberFormat="1" applyFill="1" applyBorder="1" applyAlignment="1">
      <alignment/>
    </xf>
    <xf numFmtId="3" fontId="0" fillId="0" borderId="17" xfId="0" applyNumberFormat="1" applyFill="1" applyBorder="1" applyAlignment="1">
      <alignment/>
    </xf>
    <xf numFmtId="195" fontId="0" fillId="0" borderId="5" xfId="0" applyNumberFormat="1" applyBorder="1" applyAlignment="1">
      <alignment/>
    </xf>
    <xf numFmtId="198" fontId="0" fillId="0" borderId="29" xfId="0" applyNumberFormat="1" applyBorder="1" applyAlignment="1">
      <alignment/>
    </xf>
    <xf numFmtId="198" fontId="0" fillId="0" borderId="32" xfId="0" applyNumberFormat="1" applyBorder="1" applyAlignment="1">
      <alignment/>
    </xf>
    <xf numFmtId="0" fontId="0" fillId="0" borderId="36" xfId="0" applyBorder="1" applyAlignment="1">
      <alignment/>
    </xf>
    <xf numFmtId="198" fontId="0" fillId="0" borderId="37" xfId="0" applyNumberFormat="1" applyBorder="1" applyAlignment="1">
      <alignment/>
    </xf>
    <xf numFmtId="0" fontId="0" fillId="0" borderId="38" xfId="0" applyBorder="1" applyAlignment="1">
      <alignment/>
    </xf>
    <xf numFmtId="198" fontId="0" fillId="0" borderId="39" xfId="0" applyNumberFormat="1" applyBorder="1" applyAlignment="1">
      <alignment/>
    </xf>
    <xf numFmtId="3" fontId="0" fillId="0" borderId="2" xfId="0" applyNumberFormat="1" applyBorder="1" applyAlignment="1">
      <alignment/>
    </xf>
    <xf numFmtId="3" fontId="0" fillId="0" borderId="31" xfId="0" applyNumberFormat="1" applyBorder="1" applyAlignment="1">
      <alignment/>
    </xf>
    <xf numFmtId="181" fontId="0" fillId="0" borderId="13" xfId="0" applyNumberFormat="1" applyBorder="1" applyAlignment="1">
      <alignment/>
    </xf>
    <xf numFmtId="181" fontId="0" fillId="0" borderId="40" xfId="0" applyNumberFormat="1" applyBorder="1" applyAlignment="1">
      <alignment/>
    </xf>
    <xf numFmtId="219" fontId="0" fillId="0" borderId="0" xfId="0" applyNumberFormat="1" applyAlignment="1">
      <alignment/>
    </xf>
    <xf numFmtId="219" fontId="0" fillId="0" borderId="2" xfId="0" applyNumberFormat="1" applyBorder="1" applyAlignment="1">
      <alignment/>
    </xf>
    <xf numFmtId="219" fontId="0" fillId="0" borderId="0" xfId="0" applyNumberFormat="1" applyBorder="1" applyAlignment="1">
      <alignment/>
    </xf>
    <xf numFmtId="219" fontId="0" fillId="0" borderId="5" xfId="0" applyNumberFormat="1" applyBorder="1" applyAlignment="1">
      <alignment/>
    </xf>
    <xf numFmtId="0" fontId="0" fillId="0" borderId="27" xfId="0"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3">
    <dxf>
      <fill>
        <patternFill>
          <bgColor rgb="FFFF99CC"/>
        </patternFill>
      </fill>
      <border/>
    </dxf>
    <dxf>
      <fill>
        <patternFill>
          <bgColor rgb="FFFF00FF"/>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4.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191</xdr:row>
      <xdr:rowOff>0</xdr:rowOff>
    </xdr:from>
    <xdr:to>
      <xdr:col>0</xdr:col>
      <xdr:colOff>9525</xdr:colOff>
      <xdr:row>191</xdr:row>
      <xdr:rowOff>9525</xdr:rowOff>
    </xdr:to>
    <xdr:pic>
      <xdr:nvPicPr>
        <xdr:cNvPr id="1" name="Picture 6"/>
        <xdr:cNvPicPr preferRelativeResize="1">
          <a:picLocks noChangeAspect="1"/>
        </xdr:cNvPicPr>
      </xdr:nvPicPr>
      <xdr:blipFill>
        <a:blip r:embed="rId1"/>
        <a:stretch>
          <a:fillRect/>
        </a:stretch>
      </xdr:blipFill>
      <xdr:spPr>
        <a:xfrm>
          <a:off x="0" y="32813625"/>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5</xdr:row>
      <xdr:rowOff>19050</xdr:rowOff>
    </xdr:to>
    <xdr:grpSp>
      <xdr:nvGrpSpPr>
        <xdr:cNvPr id="1" name="Group 43"/>
        <xdr:cNvGrpSpPr>
          <a:grpSpLocks/>
        </xdr:cNvGrpSpPr>
      </xdr:nvGrpSpPr>
      <xdr:grpSpPr>
        <a:xfrm>
          <a:off x="171450" y="171450"/>
          <a:ext cx="1390650" cy="704850"/>
          <a:chOff x="0" y="18"/>
          <a:chExt cx="131" cy="74"/>
        </a:xfrm>
        <a:solidFill>
          <a:srgbClr val="FFFFFF"/>
        </a:solidFill>
      </xdr:grpSpPr>
    </xdr:grpSp>
    <xdr:clientData/>
  </xdr:twoCellAnchor>
  <xdr:twoCellAnchor>
    <xdr:from>
      <xdr:col>2</xdr:col>
      <xdr:colOff>104775</xdr:colOff>
      <xdr:row>1</xdr:row>
      <xdr:rowOff>0</xdr:rowOff>
    </xdr:from>
    <xdr:to>
      <xdr:col>3</xdr:col>
      <xdr:colOff>333375</xdr:colOff>
      <xdr:row>5</xdr:row>
      <xdr:rowOff>104775</xdr:rowOff>
    </xdr:to>
    <xdr:grpSp>
      <xdr:nvGrpSpPr>
        <xdr:cNvPr id="6" name="Group 187"/>
        <xdr:cNvGrpSpPr>
          <a:grpSpLocks/>
        </xdr:cNvGrpSpPr>
      </xdr:nvGrpSpPr>
      <xdr:grpSpPr>
        <a:xfrm>
          <a:off x="1666875" y="171450"/>
          <a:ext cx="2457450" cy="790575"/>
          <a:chOff x="175" y="18"/>
          <a:chExt cx="258" cy="83"/>
        </a:xfrm>
        <a:solidFill>
          <a:srgbClr val="FFFFFF"/>
        </a:solidFill>
      </xdr:grpSpPr>
    </xdr:grpSp>
    <xdr:clientData/>
  </xdr:twoCellAnchor>
  <xdr:twoCellAnchor editAs="oneCell">
    <xdr:from>
      <xdr:col>7</xdr:col>
      <xdr:colOff>0</xdr:colOff>
      <xdr:row>11</xdr:row>
      <xdr:rowOff>0</xdr:rowOff>
    </xdr:from>
    <xdr:to>
      <xdr:col>10</xdr:col>
      <xdr:colOff>571500</xdr:colOff>
      <xdr:row>15</xdr:row>
      <xdr:rowOff>0</xdr:rowOff>
    </xdr:to>
    <xdr:pic>
      <xdr:nvPicPr>
        <xdr:cNvPr id="11" name="CommandButton1"/>
        <xdr:cNvPicPr preferRelativeResize="1">
          <a:picLocks noChangeAspect="1"/>
        </xdr:cNvPicPr>
      </xdr:nvPicPr>
      <xdr:blipFill>
        <a:blip r:embed="rId1"/>
        <a:stretch>
          <a:fillRect/>
        </a:stretch>
      </xdr:blipFill>
      <xdr:spPr>
        <a:xfrm>
          <a:off x="6877050" y="1885950"/>
          <a:ext cx="2847975" cy="685800"/>
        </a:xfrm>
        <a:prstGeom prst="rect">
          <a:avLst/>
        </a:prstGeom>
        <a:noFill/>
        <a:ln w="9525" cmpd="sng">
          <a:noFill/>
        </a:ln>
      </xdr:spPr>
    </xdr:pic>
    <xdr:clientData/>
  </xdr:twoCellAnchor>
  <xdr:twoCellAnchor editAs="oneCell">
    <xdr:from>
      <xdr:col>7</xdr:col>
      <xdr:colOff>0</xdr:colOff>
      <xdr:row>1</xdr:row>
      <xdr:rowOff>9525</xdr:rowOff>
    </xdr:from>
    <xdr:to>
      <xdr:col>10</xdr:col>
      <xdr:colOff>76200</xdr:colOff>
      <xdr:row>4</xdr:row>
      <xdr:rowOff>0</xdr:rowOff>
    </xdr:to>
    <xdr:pic>
      <xdr:nvPicPr>
        <xdr:cNvPr id="12" name="CommandButton2"/>
        <xdr:cNvPicPr preferRelativeResize="1">
          <a:picLocks noChangeAspect="1"/>
        </xdr:cNvPicPr>
      </xdr:nvPicPr>
      <xdr:blipFill>
        <a:blip r:embed="rId2"/>
        <a:stretch>
          <a:fillRect/>
        </a:stretch>
      </xdr:blipFill>
      <xdr:spPr>
        <a:xfrm>
          <a:off x="6877050" y="180975"/>
          <a:ext cx="2352675" cy="504825"/>
        </a:xfrm>
        <a:prstGeom prst="rect">
          <a:avLst/>
        </a:prstGeom>
        <a:noFill/>
        <a:ln w="9525" cmpd="sng">
          <a:noFill/>
        </a:ln>
      </xdr:spPr>
    </xdr:pic>
    <xdr:clientData/>
  </xdr:twoCellAnchor>
  <xdr:twoCellAnchor>
    <xdr:from>
      <xdr:col>3</xdr:col>
      <xdr:colOff>228600</xdr:colOff>
      <xdr:row>1</xdr:row>
      <xdr:rowOff>9525</xdr:rowOff>
    </xdr:from>
    <xdr:to>
      <xdr:col>6</xdr:col>
      <xdr:colOff>209550</xdr:colOff>
      <xdr:row>8</xdr:row>
      <xdr:rowOff>76200</xdr:rowOff>
    </xdr:to>
    <xdr:grpSp>
      <xdr:nvGrpSpPr>
        <xdr:cNvPr id="13" name="Group 135"/>
        <xdr:cNvGrpSpPr>
          <a:grpSpLocks/>
        </xdr:cNvGrpSpPr>
      </xdr:nvGrpSpPr>
      <xdr:grpSpPr>
        <a:xfrm>
          <a:off x="4019550" y="180975"/>
          <a:ext cx="2343150" cy="1266825"/>
          <a:chOff x="422" y="19"/>
          <a:chExt cx="246" cy="133"/>
        </a:xfrm>
        <a:solidFill>
          <a:srgbClr val="FFFFFF"/>
        </a:solidFill>
      </xdr:grpSpPr>
    </xdr:grpSp>
    <xdr:clientData/>
  </xdr:twoCellAnchor>
  <xdr:twoCellAnchor>
    <xdr:from>
      <xdr:col>3</xdr:col>
      <xdr:colOff>209550</xdr:colOff>
      <xdr:row>9</xdr:row>
      <xdr:rowOff>161925</xdr:rowOff>
    </xdr:from>
    <xdr:to>
      <xdr:col>5</xdr:col>
      <xdr:colOff>695325</xdr:colOff>
      <xdr:row>13</xdr:row>
      <xdr:rowOff>38100</xdr:rowOff>
    </xdr:to>
    <xdr:grpSp>
      <xdr:nvGrpSpPr>
        <xdr:cNvPr id="21" name="Group 136"/>
        <xdr:cNvGrpSpPr>
          <a:grpSpLocks/>
        </xdr:cNvGrpSpPr>
      </xdr:nvGrpSpPr>
      <xdr:grpSpPr>
        <a:xfrm>
          <a:off x="4000500" y="1704975"/>
          <a:ext cx="1657350" cy="561975"/>
          <a:chOff x="420" y="179"/>
          <a:chExt cx="174" cy="59"/>
        </a:xfrm>
        <a:solidFill>
          <a:srgbClr val="FFFFFF"/>
        </a:solidFill>
      </xdr:grpSpPr>
    </xdr:grpSp>
    <xdr:clientData/>
  </xdr:twoCellAnchor>
  <xdr:twoCellAnchor editAs="oneCell">
    <xdr:from>
      <xdr:col>7</xdr:col>
      <xdr:colOff>0</xdr:colOff>
      <xdr:row>6</xdr:row>
      <xdr:rowOff>9525</xdr:rowOff>
    </xdr:from>
    <xdr:to>
      <xdr:col>10</xdr:col>
      <xdr:colOff>76200</xdr:colOff>
      <xdr:row>9</xdr:row>
      <xdr:rowOff>0</xdr:rowOff>
    </xdr:to>
    <xdr:pic>
      <xdr:nvPicPr>
        <xdr:cNvPr id="25" name="CommandButton3"/>
        <xdr:cNvPicPr preferRelativeResize="1">
          <a:picLocks noChangeAspect="1"/>
        </xdr:cNvPicPr>
      </xdr:nvPicPr>
      <xdr:blipFill>
        <a:blip r:embed="rId3"/>
        <a:stretch>
          <a:fillRect/>
        </a:stretch>
      </xdr:blipFill>
      <xdr:spPr>
        <a:xfrm>
          <a:off x="6877050" y="1038225"/>
          <a:ext cx="2352675" cy="504825"/>
        </a:xfrm>
        <a:prstGeom prst="rect">
          <a:avLst/>
        </a:prstGeom>
        <a:noFill/>
        <a:ln w="9525" cmpd="sng">
          <a:noFill/>
        </a:ln>
      </xdr:spPr>
    </xdr:pic>
    <xdr:clientData/>
  </xdr:twoCellAnchor>
  <xdr:twoCellAnchor>
    <xdr:from>
      <xdr:col>2</xdr:col>
      <xdr:colOff>647700</xdr:colOff>
      <xdr:row>16</xdr:row>
      <xdr:rowOff>0</xdr:rowOff>
    </xdr:from>
    <xdr:to>
      <xdr:col>2</xdr:col>
      <xdr:colOff>2133600</xdr:colOff>
      <xdr:row>19</xdr:row>
      <xdr:rowOff>9525</xdr:rowOff>
    </xdr:to>
    <xdr:grpSp>
      <xdr:nvGrpSpPr>
        <xdr:cNvPr id="26" name="Group 131"/>
        <xdr:cNvGrpSpPr>
          <a:grpSpLocks/>
        </xdr:cNvGrpSpPr>
      </xdr:nvGrpSpPr>
      <xdr:grpSpPr>
        <a:xfrm>
          <a:off x="2209800" y="2743200"/>
          <a:ext cx="1485900" cy="523875"/>
          <a:chOff x="235" y="308"/>
          <a:chExt cx="156" cy="55"/>
        </a:xfrm>
        <a:solidFill>
          <a:srgbClr val="FFFFFF"/>
        </a:solidFill>
      </xdr:grpSpPr>
    </xdr:grpSp>
    <xdr:clientData/>
  </xdr:twoCellAnchor>
  <xdr:twoCellAnchor editAs="oneCell">
    <xdr:from>
      <xdr:col>10</xdr:col>
      <xdr:colOff>219075</xdr:colOff>
      <xdr:row>2</xdr:row>
      <xdr:rowOff>161925</xdr:rowOff>
    </xdr:from>
    <xdr:to>
      <xdr:col>14</xdr:col>
      <xdr:colOff>0</xdr:colOff>
      <xdr:row>7</xdr:row>
      <xdr:rowOff>9525</xdr:rowOff>
    </xdr:to>
    <xdr:pic>
      <xdr:nvPicPr>
        <xdr:cNvPr id="29" name="CommandButton4"/>
        <xdr:cNvPicPr preferRelativeResize="1">
          <a:picLocks noChangeAspect="1"/>
        </xdr:cNvPicPr>
      </xdr:nvPicPr>
      <xdr:blipFill>
        <a:blip r:embed="rId4"/>
        <a:stretch>
          <a:fillRect/>
        </a:stretch>
      </xdr:blipFill>
      <xdr:spPr>
        <a:xfrm>
          <a:off x="9372600" y="504825"/>
          <a:ext cx="3619500" cy="704850"/>
        </a:xfrm>
        <a:prstGeom prst="rect">
          <a:avLst/>
        </a:prstGeom>
        <a:noFill/>
        <a:ln w="9525" cmpd="sng">
          <a:noFill/>
        </a:ln>
      </xdr:spPr>
    </xdr:pic>
    <xdr:clientData/>
  </xdr:twoCellAnchor>
  <xdr:twoCellAnchor>
    <xdr:from>
      <xdr:col>1</xdr:col>
      <xdr:colOff>0</xdr:colOff>
      <xdr:row>6</xdr:row>
      <xdr:rowOff>0</xdr:rowOff>
    </xdr:from>
    <xdr:to>
      <xdr:col>2</xdr:col>
      <xdr:colOff>533400</xdr:colOff>
      <xdr:row>14</xdr:row>
      <xdr:rowOff>28575</xdr:rowOff>
    </xdr:to>
    <xdr:grpSp>
      <xdr:nvGrpSpPr>
        <xdr:cNvPr id="30" name="Group 182"/>
        <xdr:cNvGrpSpPr>
          <a:grpSpLocks/>
        </xdr:cNvGrpSpPr>
      </xdr:nvGrpSpPr>
      <xdr:grpSpPr>
        <a:xfrm>
          <a:off x="171450" y="1028700"/>
          <a:ext cx="1924050" cy="1400175"/>
          <a:chOff x="18" y="108"/>
          <a:chExt cx="202" cy="147"/>
        </a:xfrm>
        <a:solidFill>
          <a:srgbClr val="FFFFFF"/>
        </a:solidFill>
      </xdr:grpSpPr>
    </xdr:grpSp>
    <xdr:clientData/>
  </xdr:twoCellAnchor>
  <xdr:twoCellAnchor>
    <xdr:from>
      <xdr:col>3</xdr:col>
      <xdr:colOff>228600</xdr:colOff>
      <xdr:row>14</xdr:row>
      <xdr:rowOff>28575</xdr:rowOff>
    </xdr:from>
    <xdr:to>
      <xdr:col>5</xdr:col>
      <xdr:colOff>685800</xdr:colOff>
      <xdr:row>18</xdr:row>
      <xdr:rowOff>104775</xdr:rowOff>
    </xdr:to>
    <xdr:grpSp>
      <xdr:nvGrpSpPr>
        <xdr:cNvPr id="39" name="Group 186"/>
        <xdr:cNvGrpSpPr>
          <a:grpSpLocks/>
        </xdr:cNvGrpSpPr>
      </xdr:nvGrpSpPr>
      <xdr:grpSpPr>
        <a:xfrm>
          <a:off x="4019550" y="2428875"/>
          <a:ext cx="1628775" cy="762000"/>
          <a:chOff x="422" y="255"/>
          <a:chExt cx="171" cy="80"/>
        </a:xfrm>
        <a:solidFill>
          <a:srgbClr val="FFFFFF"/>
        </a:solidFill>
      </xdr:grpSpPr>
    </xdr:grpSp>
    <xdr:clientData/>
  </xdr:twoCellAnchor>
  <xdr:twoCellAnchor>
    <xdr:from>
      <xdr:col>2</xdr:col>
      <xdr:colOff>638175</xdr:colOff>
      <xdr:row>19</xdr:row>
      <xdr:rowOff>133350</xdr:rowOff>
    </xdr:from>
    <xdr:to>
      <xdr:col>3</xdr:col>
      <xdr:colOff>371475</xdr:colOff>
      <xdr:row>22</xdr:row>
      <xdr:rowOff>142875</xdr:rowOff>
    </xdr:to>
    <xdr:grpSp>
      <xdr:nvGrpSpPr>
        <xdr:cNvPr id="43" name="Group 184"/>
        <xdr:cNvGrpSpPr>
          <a:grpSpLocks/>
        </xdr:cNvGrpSpPr>
      </xdr:nvGrpSpPr>
      <xdr:grpSpPr>
        <a:xfrm>
          <a:off x="2200275" y="3390900"/>
          <a:ext cx="1962150" cy="523875"/>
          <a:chOff x="232" y="337"/>
          <a:chExt cx="206" cy="55"/>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loomberg.com/apps/quote?ticker=SHSZ300:IND" TargetMode="External" /><Relationship Id="rId2" Type="http://schemas.openxmlformats.org/officeDocument/2006/relationships/hyperlink" Target="http://www.bloomberg.com/apps/quote?ticker=SSE50%3AIND"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kkoam.com/products/etf_data/etf-large.xls"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hyperlink" Target="http://www.tocom.or.jp/jp/souba/tocom_index/sub_index.html" TargetMode="External" /><Relationship Id="rId2" Type="http://schemas.openxmlformats.org/officeDocument/2006/relationships/comments" Target="../comments7.x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E200"/>
  <sheetViews>
    <sheetView workbookViewId="0" topLeftCell="A92">
      <selection activeCell="F112" sqref="F112"/>
    </sheetView>
  </sheetViews>
  <sheetFormatPr defaultColWidth="9.00390625" defaultRowHeight="13.5"/>
  <cols>
    <col min="1" max="1" width="11.625" style="0" bestFit="1" customWidth="1"/>
    <col min="2" max="2" width="12.875" style="0" bestFit="1" customWidth="1"/>
    <col min="3" max="3" width="12.75390625" style="0" bestFit="1" customWidth="1"/>
    <col min="4" max="4" width="12.875" style="0" bestFit="1" customWidth="1"/>
    <col min="13" max="13" width="12.75390625" style="0" bestFit="1" customWidth="1"/>
  </cols>
  <sheetData>
    <row r="1" ht="13.5">
      <c r="A1" t="s">
        <v>67</v>
      </c>
    </row>
    <row r="2" ht="13.5">
      <c r="A2" t="s">
        <v>1732</v>
      </c>
    </row>
    <row r="4" ht="13.5">
      <c r="A4" t="s">
        <v>61</v>
      </c>
    </row>
    <row r="5" ht="13.5">
      <c r="A5" t="s">
        <v>238</v>
      </c>
    </row>
    <row r="6" ht="13.5">
      <c r="A6" t="s">
        <v>1582</v>
      </c>
    </row>
    <row r="8" ht="13.5">
      <c r="A8" t="s">
        <v>63</v>
      </c>
    </row>
    <row r="9" ht="13.5">
      <c r="A9" t="s">
        <v>242</v>
      </c>
    </row>
    <row r="10" ht="13.5">
      <c r="A10" t="s">
        <v>1944</v>
      </c>
    </row>
    <row r="11" ht="13.5">
      <c r="A11" t="s">
        <v>1954</v>
      </c>
    </row>
    <row r="12" ht="13.5">
      <c r="A12" t="s">
        <v>1759</v>
      </c>
    </row>
    <row r="13" ht="13.5">
      <c r="A13" t="s">
        <v>1758</v>
      </c>
    </row>
    <row r="14" ht="13.5">
      <c r="A14" t="s">
        <v>1797</v>
      </c>
    </row>
    <row r="15" ht="13.5">
      <c r="A15" t="s">
        <v>1760</v>
      </c>
    </row>
    <row r="16" ht="13.5">
      <c r="A16" t="s">
        <v>1219</v>
      </c>
    </row>
    <row r="18" ht="13.5">
      <c r="A18" t="s">
        <v>60</v>
      </c>
    </row>
    <row r="19" ht="13.5">
      <c r="A19" t="s">
        <v>95</v>
      </c>
    </row>
    <row r="20" ht="13.5">
      <c r="A20" t="s">
        <v>1737</v>
      </c>
    </row>
    <row r="21" ht="13.5">
      <c r="A21" t="s">
        <v>231</v>
      </c>
    </row>
    <row r="22" ht="13.5">
      <c r="A22" t="s">
        <v>1757</v>
      </c>
    </row>
    <row r="23" ht="13.5">
      <c r="A23" t="s">
        <v>1956</v>
      </c>
    </row>
    <row r="24" ht="13.5">
      <c r="A24" t="s">
        <v>235</v>
      </c>
    </row>
    <row r="25" ht="13.5">
      <c r="A25" t="s">
        <v>1754</v>
      </c>
    </row>
    <row r="26" s="167" customFormat="1" ht="13.5">
      <c r="A26" s="167" t="s">
        <v>1936</v>
      </c>
    </row>
    <row r="27" s="167" customFormat="1" ht="13.5">
      <c r="A27" t="s">
        <v>1717</v>
      </c>
    </row>
    <row r="28" s="167" customFormat="1" ht="13.5">
      <c r="A28" t="s">
        <v>1564</v>
      </c>
    </row>
    <row r="30" ht="13.5">
      <c r="A30" t="s">
        <v>1583</v>
      </c>
    </row>
    <row r="31" ht="13.5">
      <c r="A31" t="s">
        <v>1358</v>
      </c>
    </row>
    <row r="32" ht="13.5">
      <c r="A32" t="s">
        <v>1959</v>
      </c>
    </row>
    <row r="34" ht="13.5">
      <c r="A34" t="s">
        <v>1907</v>
      </c>
    </row>
    <row r="35" ht="13.5">
      <c r="A35" t="s">
        <v>1135</v>
      </c>
    </row>
    <row r="37" ht="13.5">
      <c r="A37" t="s">
        <v>65</v>
      </c>
    </row>
    <row r="38" ht="13.5">
      <c r="A38" t="s">
        <v>244</v>
      </c>
    </row>
    <row r="39" ht="13.5">
      <c r="A39" t="s">
        <v>1097</v>
      </c>
    </row>
    <row r="40" ht="13.5">
      <c r="A40" t="s">
        <v>1761</v>
      </c>
    </row>
    <row r="41" ht="13.5">
      <c r="A41" t="s">
        <v>1736</v>
      </c>
    </row>
    <row r="43" ht="13.5">
      <c r="A43" t="s">
        <v>66</v>
      </c>
    </row>
    <row r="44" ht="13.5">
      <c r="A44" t="s">
        <v>68</v>
      </c>
    </row>
    <row r="45" ht="13.5">
      <c r="A45" s="37" t="str">
        <f>HYPERLINK("http://homepage3.nifty.com/~miyaken/investment/")</f>
        <v>http://homepage3.nifty.com/~miyaken/investment/</v>
      </c>
    </row>
    <row r="47" ht="13.5">
      <c r="A47" t="s">
        <v>69</v>
      </c>
    </row>
    <row r="48" ht="13.5">
      <c r="A48" t="s">
        <v>71</v>
      </c>
    </row>
    <row r="49" ht="13.5">
      <c r="A49" t="s">
        <v>1733</v>
      </c>
    </row>
    <row r="50" ht="13.5">
      <c r="A50" t="s">
        <v>70</v>
      </c>
    </row>
    <row r="51" ht="13.5">
      <c r="A51" t="s">
        <v>1098</v>
      </c>
    </row>
    <row r="52" ht="13.5">
      <c r="A52" t="s">
        <v>1566</v>
      </c>
    </row>
    <row r="53" ht="13.5">
      <c r="A53" t="s">
        <v>1752</v>
      </c>
    </row>
    <row r="54" ht="13.5">
      <c r="A54" t="s">
        <v>1567</v>
      </c>
    </row>
    <row r="55" ht="13.5">
      <c r="A55" t="s">
        <v>1049</v>
      </c>
    </row>
    <row r="56" ht="13.5">
      <c r="A56" t="s">
        <v>1734</v>
      </c>
    </row>
    <row r="58" ht="13.5">
      <c r="A58" t="s">
        <v>233</v>
      </c>
    </row>
    <row r="59" spans="1:2" ht="13.5">
      <c r="A59" s="264">
        <v>39570</v>
      </c>
      <c r="B59" t="s">
        <v>234</v>
      </c>
    </row>
    <row r="60" spans="1:2" ht="13.5">
      <c r="A60" s="264">
        <v>39589</v>
      </c>
      <c r="B60" t="s">
        <v>345</v>
      </c>
    </row>
    <row r="61" spans="1:2" ht="13.5">
      <c r="A61" s="264">
        <v>39591</v>
      </c>
      <c r="B61" t="s">
        <v>245</v>
      </c>
    </row>
    <row r="62" spans="1:2" ht="13.5">
      <c r="A62" s="264">
        <v>39617</v>
      </c>
      <c r="B62" t="s">
        <v>2017</v>
      </c>
    </row>
    <row r="63" spans="1:2" ht="13.5">
      <c r="A63" s="264">
        <v>39636</v>
      </c>
      <c r="B63" t="s">
        <v>1962</v>
      </c>
    </row>
    <row r="64" spans="1:2" ht="13.5">
      <c r="A64" s="264">
        <v>39647</v>
      </c>
      <c r="B64" t="s">
        <v>1001</v>
      </c>
    </row>
    <row r="65" spans="1:2" ht="13.5">
      <c r="A65" s="264">
        <v>39652</v>
      </c>
      <c r="B65" t="s">
        <v>1961</v>
      </c>
    </row>
    <row r="66" spans="1:2" ht="13.5">
      <c r="A66" s="264">
        <v>39659</v>
      </c>
      <c r="B66" t="s">
        <v>1014</v>
      </c>
    </row>
    <row r="67" spans="1:2" ht="13.5">
      <c r="A67" s="264">
        <v>39694</v>
      </c>
      <c r="B67" t="s">
        <v>1960</v>
      </c>
    </row>
    <row r="68" spans="1:2" ht="13.5">
      <c r="A68" s="264">
        <v>39697</v>
      </c>
      <c r="B68" t="s">
        <v>245</v>
      </c>
    </row>
    <row r="69" spans="1:2" ht="13.5">
      <c r="A69" s="264">
        <v>39703</v>
      </c>
      <c r="B69" t="s">
        <v>1941</v>
      </c>
    </row>
    <row r="70" spans="1:2" ht="13.5">
      <c r="A70" s="264">
        <v>39708</v>
      </c>
      <c r="B70" t="s">
        <v>1942</v>
      </c>
    </row>
    <row r="71" spans="1:2" ht="13.5">
      <c r="A71" s="264">
        <v>39713</v>
      </c>
      <c r="B71" t="s">
        <v>1958</v>
      </c>
    </row>
    <row r="72" spans="1:2" ht="13.5">
      <c r="A72" s="264">
        <v>39713</v>
      </c>
      <c r="B72" t="s">
        <v>1939</v>
      </c>
    </row>
    <row r="73" spans="1:2" ht="13.5">
      <c r="A73" s="264">
        <v>39720</v>
      </c>
      <c r="B73" t="s">
        <v>1919</v>
      </c>
    </row>
    <row r="74" spans="1:2" ht="13.5">
      <c r="A74" s="264">
        <v>39722</v>
      </c>
      <c r="B74" t="s">
        <v>1092</v>
      </c>
    </row>
    <row r="75" spans="1:2" ht="13.5">
      <c r="A75" s="264">
        <v>39723</v>
      </c>
      <c r="B75" t="s">
        <v>1093</v>
      </c>
    </row>
    <row r="76" spans="1:2" ht="13.5">
      <c r="A76" s="264">
        <v>39724</v>
      </c>
      <c r="B76" t="s">
        <v>1082</v>
      </c>
    </row>
    <row r="77" spans="1:2" ht="13.5">
      <c r="A77" s="264">
        <v>39732</v>
      </c>
      <c r="B77" t="s">
        <v>1911</v>
      </c>
    </row>
    <row r="78" spans="1:2" ht="13.5">
      <c r="A78" s="264">
        <v>39742</v>
      </c>
      <c r="B78" t="s">
        <v>1916</v>
      </c>
    </row>
    <row r="79" spans="1:2" ht="13.5">
      <c r="A79" s="264">
        <v>39743</v>
      </c>
      <c r="B79" t="s">
        <v>1914</v>
      </c>
    </row>
    <row r="80" spans="1:2" ht="13.5">
      <c r="A80" s="264">
        <v>39787</v>
      </c>
      <c r="B80" t="s">
        <v>1197</v>
      </c>
    </row>
    <row r="81" spans="1:2" ht="13.5">
      <c r="A81" s="264">
        <v>39846</v>
      </c>
      <c r="B81" t="s">
        <v>1215</v>
      </c>
    </row>
    <row r="82" spans="1:2" ht="13.5">
      <c r="A82" s="264">
        <v>39869</v>
      </c>
      <c r="B82" t="s">
        <v>1705</v>
      </c>
    </row>
    <row r="83" spans="1:2" ht="13.5">
      <c r="A83" s="264">
        <v>39902</v>
      </c>
      <c r="B83" t="s">
        <v>1217</v>
      </c>
    </row>
    <row r="84" spans="1:2" ht="13.5">
      <c r="A84" s="264">
        <v>40000</v>
      </c>
      <c r="B84" t="s">
        <v>1270</v>
      </c>
    </row>
    <row r="85" spans="1:2" ht="13.5">
      <c r="A85" s="264">
        <v>40017</v>
      </c>
      <c r="B85" t="s">
        <v>2051</v>
      </c>
    </row>
    <row r="86" spans="1:2" ht="13.5">
      <c r="A86" s="264">
        <v>40018</v>
      </c>
      <c r="B86" t="s">
        <v>1911</v>
      </c>
    </row>
    <row r="87" spans="1:2" ht="13.5">
      <c r="A87" s="264">
        <v>40032</v>
      </c>
      <c r="B87" t="s">
        <v>2047</v>
      </c>
    </row>
    <row r="88" spans="1:2" ht="13.5">
      <c r="A88" s="264">
        <v>40051</v>
      </c>
      <c r="B88" t="s">
        <v>2048</v>
      </c>
    </row>
    <row r="89" spans="1:2" ht="13.5">
      <c r="A89" s="264">
        <v>40086</v>
      </c>
      <c r="B89" t="s">
        <v>2049</v>
      </c>
    </row>
    <row r="90" spans="1:2" ht="13.5">
      <c r="A90" s="264">
        <v>40102</v>
      </c>
      <c r="B90" t="s">
        <v>1689</v>
      </c>
    </row>
    <row r="91" spans="1:2" ht="13.5">
      <c r="A91" s="264">
        <v>40143</v>
      </c>
      <c r="B91" t="s">
        <v>72</v>
      </c>
    </row>
    <row r="92" spans="1:2" ht="13.5">
      <c r="A92" s="264">
        <v>40157</v>
      </c>
      <c r="B92" t="s">
        <v>1735</v>
      </c>
    </row>
    <row r="93" spans="1:2" ht="13.5">
      <c r="A93" s="264">
        <v>40158</v>
      </c>
      <c r="B93" t="s">
        <v>2021</v>
      </c>
    </row>
    <row r="94" spans="1:2" ht="13.5">
      <c r="A94" s="264">
        <v>40197</v>
      </c>
      <c r="B94" t="s">
        <v>1911</v>
      </c>
    </row>
    <row r="95" spans="1:2" ht="13.5">
      <c r="A95" s="264">
        <v>40203</v>
      </c>
      <c r="B95" t="s">
        <v>1725</v>
      </c>
    </row>
    <row r="96" spans="1:2" ht="13.5">
      <c r="A96" s="264">
        <v>40204</v>
      </c>
      <c r="B96" t="s">
        <v>1762</v>
      </c>
    </row>
    <row r="97" spans="1:2" ht="13.5">
      <c r="A97" s="264">
        <v>40210</v>
      </c>
      <c r="B97" t="s">
        <v>1660</v>
      </c>
    </row>
    <row r="98" spans="1:2" ht="13.5">
      <c r="A98" s="264">
        <v>40231</v>
      </c>
      <c r="B98" t="s">
        <v>1186</v>
      </c>
    </row>
    <row r="99" spans="1:2" ht="13.5">
      <c r="A99" s="264">
        <v>40238</v>
      </c>
      <c r="B99" t="s">
        <v>2050</v>
      </c>
    </row>
    <row r="100" spans="1:2" ht="13.5">
      <c r="A100" s="264">
        <v>40245</v>
      </c>
      <c r="B100" t="s">
        <v>1057</v>
      </c>
    </row>
    <row r="101" spans="1:2" ht="13.5">
      <c r="A101" s="264">
        <v>40246</v>
      </c>
      <c r="B101" t="s">
        <v>1911</v>
      </c>
    </row>
    <row r="102" spans="1:2" ht="13.5">
      <c r="A102" s="264">
        <v>40255</v>
      </c>
      <c r="B102" t="s">
        <v>555</v>
      </c>
    </row>
    <row r="103" ht="13.5">
      <c r="A103" s="264"/>
    </row>
    <row r="104" ht="13.5">
      <c r="A104" s="3"/>
    </row>
    <row r="105" ht="13.5">
      <c r="A105" t="s">
        <v>236</v>
      </c>
    </row>
    <row r="106" spans="1:2" ht="13.5">
      <c r="A106" s="166" t="s">
        <v>1095</v>
      </c>
      <c r="B106" s="167" t="s">
        <v>1094</v>
      </c>
    </row>
    <row r="107" spans="1:2" ht="13.5">
      <c r="A107" s="71"/>
      <c r="B107" s="3"/>
    </row>
    <row r="108" ht="13.5">
      <c r="A108" t="s">
        <v>2014</v>
      </c>
    </row>
    <row r="109" ht="13.5">
      <c r="A109" s="37" t="str">
        <f>HYPERLINK("http://www.tse.or.jp/rules/etf/square.html","ETFスクエア＠東証")</f>
        <v>ETFスクエア＠東証</v>
      </c>
    </row>
    <row r="110" ht="13.5">
      <c r="A110" s="37" t="str">
        <f>HYPERLINK("http://www.ose.or.jp/stocks/ind_et.html","大証ETF")</f>
        <v>大証ETF</v>
      </c>
    </row>
    <row r="111" ht="13.5">
      <c r="A111" s="37" t="str">
        <f>HYPERLINK("http://nextfunds.jp/top.html","野村のETF　NEXT FUNDS")</f>
        <v>野村のETF　NEXT FUNDS</v>
      </c>
    </row>
    <row r="112" spans="1:2" ht="13.5">
      <c r="A112" s="37" t="str">
        <f>HYPERLINK("http://www.nikkoam.com/products/etf_relay/","日興のETF")</f>
        <v>日興のETF</v>
      </c>
      <c r="B112" s="37" t="str">
        <f>HYPERLINK("http://www.nikkoam.com/products/hotnews/","日興ファンドの基準価額")</f>
        <v>日興ファンドの基準価額</v>
      </c>
    </row>
    <row r="113" ht="13.5">
      <c r="A113" s="37" t="str">
        <f>HYPERLINK("http://etf.daiwa-am.co.jp/","大和のETF")</f>
        <v>大和のETF</v>
      </c>
    </row>
    <row r="114" ht="13.5">
      <c r="A114" s="37" t="str">
        <f>HYPERLINK("http://www.am.mufg.jp/etf_info/","三菱UFJのETF MAXIS")</f>
        <v>三菱UFJのETF MAXIS</v>
      </c>
    </row>
    <row r="115" ht="13.5">
      <c r="A115" s="37" t="str">
        <f>HYPERLINK("http://www.abf-paif.com/jap/jp/index.aspx","ABF汎アジア債券インデックスファンド－ホーム")</f>
        <v>ABF汎アジア債券インデックスファンド－ホーム</v>
      </c>
    </row>
    <row r="116" ht="13.5">
      <c r="A116" s="37" t="str">
        <f>HYPERLINK("http://www.spdrgoldshares.com/","SPDR GOLD SHARES")</f>
        <v>SPDR GOLD SHARES</v>
      </c>
    </row>
    <row r="117" ht="13.5">
      <c r="A117" s="37" t="str">
        <f>HYPERLINK("http://www.kodex.com/engProduct.do?fundId=2ETF01&amp;pageCode=010101","KODEX200")</f>
        <v>KODEX200</v>
      </c>
    </row>
    <row r="118" ht="13.5">
      <c r="A118" s="37" t="str">
        <f>HYPERLINK("http://www.etfsecurities.com/en/etfscalculations/etfsmsl.aspx?region=jp","ETFS Metal")</f>
        <v>ETFS Metal</v>
      </c>
    </row>
    <row r="119" ht="13.5">
      <c r="A119" s="37" t="str">
        <f>HYPERLINK("http://j-pcf.ishares.co.jp/f_j-pcf.html","ブラックロック・ジャパン
")</f>
        <v>ブラックロック・ジャパン
</v>
      </c>
    </row>
    <row r="120" ht="13.5">
      <c r="A120" s="37" t="str">
        <f>HYPERLINK("http://www.simplexasset.com/jp/etf/top/","シンプレクス・アセット・マネジメントのETF")</f>
        <v>シンプレクス・アセット・マネジメントのETF</v>
      </c>
    </row>
    <row r="121" ht="13.5">
      <c r="A121" s="37" t="str">
        <f>HYPERLINK("http://www.mizuho-am.co.jp/static/fund/fundLineUp27.html","みずほ投信投資顧問のETF")</f>
        <v>みずほ投信投資顧問のETF</v>
      </c>
    </row>
    <row r="122" ht="13.5">
      <c r="A122" s="37" t="str">
        <f>HYPERLINK("http://money.quick.co.jp/etf/","QUCIK MoneyLife")</f>
        <v>QUCIK MoneyLife</v>
      </c>
    </row>
    <row r="123" ht="13.5">
      <c r="A123" s="37" t="str">
        <f>HYPERLINK("http://quote.yahoo.co.jp/q?s=ETF","Yahoo!Finance")</f>
        <v>Yahoo!Finance</v>
      </c>
    </row>
    <row r="124" ht="13.5">
      <c r="A124" s="37" t="str">
        <f>HYPERLINK("http://ita.daiwa-fc.co.jp/ITAS/99911FullList.html","DFC FUNDGUIDE")</f>
        <v>DFC FUNDGUIDE</v>
      </c>
    </row>
    <row r="125" ht="13.5">
      <c r="A125" s="37" t="str">
        <f>HYPERLINK("http://www.etfsecurities.com/jp/securities/etfs_physical_exposure.asp","ETFセキュリティーズ証券一口当たりの現物の量")</f>
        <v>ETFセキュリティーズ証券一口当たりの現物の量</v>
      </c>
    </row>
    <row r="126" ht="13.5">
      <c r="D126" s="37"/>
    </row>
    <row r="127" ht="13.5">
      <c r="A127" t="s">
        <v>2015</v>
      </c>
    </row>
    <row r="128" ht="13.5">
      <c r="A128" s="37" t="str">
        <f>HYPERLINK("http://www.gold.org/")</f>
        <v>http://www.gold.org/</v>
      </c>
    </row>
    <row r="129" ht="13.5">
      <c r="A129" s="37" t="str">
        <f>HYPERLINK("http://www.goldbullion.com.au/au/charts/gb_charts.php?currency=JPY")</f>
        <v>http://www.goldbullion.com.au/au/charts/gb_charts.php?currency=JPY</v>
      </c>
    </row>
    <row r="130" ht="13.5">
      <c r="A130" s="37" t="str">
        <f>HYPERLINK("http://finance.yahoo.com/q?s=XAU=X")</f>
        <v>http://finance.yahoo.com/q?s=XAU=X</v>
      </c>
    </row>
    <row r="131" ht="13.5">
      <c r="A131" s="37" t="str">
        <f>HYPERLINK("http://goldprice.org/gold-price-japan.html")</f>
        <v>http://goldprice.org/gold-price-japan.html</v>
      </c>
    </row>
    <row r="132" ht="13.5">
      <c r="A132" s="37" t="str">
        <f>HYPERLINK("http://www.tocom.or.jp/jp/souba/tocom_index/documents/NikkeiTOCOMCommodityIndex_200912_000.pdf","日経・東工取商品指数算出要領")</f>
        <v>日経・東工取商品指数算出要領</v>
      </c>
    </row>
    <row r="134" ht="13.5">
      <c r="A134" t="s">
        <v>2016</v>
      </c>
    </row>
    <row r="135" ht="13.5">
      <c r="A135" s="37" t="str">
        <f>HYPERLINK("http://finance.yahoo.com/currency/convert?from=USD&amp;to=JPY")</f>
        <v>http://finance.yahoo.com/currency/convert?from=USD&amp;to=JPY</v>
      </c>
    </row>
    <row r="137" spans="1:5" ht="14.25">
      <c r="A137" s="103" t="s">
        <v>1925</v>
      </c>
      <c r="B137" s="53"/>
      <c r="C137" s="53"/>
      <c r="D137" s="53"/>
      <c r="E137" s="53"/>
    </row>
    <row r="138" spans="1:5" ht="14.25">
      <c r="A138" s="78" t="str">
        <f>HYPERLINK("http://qr.nomura.co.jp/jp/frcnri/","ホーム")</f>
        <v>ホーム</v>
      </c>
      <c r="B138" s="53"/>
      <c r="C138" s="53"/>
      <c r="D138" s="53"/>
      <c r="E138" s="53"/>
    </row>
    <row r="139" spans="1:5" ht="14.25">
      <c r="A139" s="78" t="str">
        <f>HYPERLINK("http://qr.nomura.co.jp/QR/FRCNRI/constituents-j.html","構成銘柄変更情報")</f>
        <v>構成銘柄変更情報</v>
      </c>
      <c r="B139" s="53"/>
      <c r="C139" s="53"/>
      <c r="D139" s="53"/>
      <c r="E139" s="53"/>
    </row>
    <row r="141" ht="13.5">
      <c r="A141" t="s">
        <v>1039</v>
      </c>
    </row>
    <row r="142" ht="13.5">
      <c r="A142" s="37" t="str">
        <f>HYPERLINK("http://spreadsheets.google.com/pub?key=paYlYgScRBAIiRDHsagr7aQ")</f>
        <v>http://spreadsheets.google.com/pub?key=paYlYgScRBAIiRDHsagr7aQ</v>
      </c>
    </row>
    <row r="144" ht="13.5">
      <c r="A144" t="s">
        <v>1924</v>
      </c>
    </row>
    <row r="145" ht="13.5">
      <c r="A145" s="37" t="str">
        <f>HYPERLINK("https://www.release.tdnet.info/inbs/I_main_00.html","適時情報閲覧サービス")</f>
        <v>適時情報閲覧サービス</v>
      </c>
    </row>
    <row r="146" ht="13.5">
      <c r="A146" s="37" t="str">
        <f>HYPERLINK("http://www.tse.or.jp/market/data/oversea/weekly/index.html","外株ウィークリー")</f>
        <v>外株ウィークリー</v>
      </c>
    </row>
    <row r="147" ht="13.5">
      <c r="A147" s="37" t="str">
        <f>HYPERLINK("http://www.opticast.co.jp/cgi-bin/hibu.cgi","逆日歩情報")</f>
        <v>逆日歩情報</v>
      </c>
    </row>
    <row r="149" ht="13.5">
      <c r="A149" t="s">
        <v>2072</v>
      </c>
    </row>
    <row r="150" ht="13.5">
      <c r="A150" t="s">
        <v>1927</v>
      </c>
    </row>
    <row r="151" ht="13.5">
      <c r="A151" t="s">
        <v>1929</v>
      </c>
    </row>
    <row r="152" ht="13.5">
      <c r="A152" t="s">
        <v>1934</v>
      </c>
    </row>
    <row r="153" ht="13.5">
      <c r="A153" t="s">
        <v>1013</v>
      </c>
    </row>
    <row r="155" ht="13.5">
      <c r="A155" t="s">
        <v>2071</v>
      </c>
    </row>
    <row r="156" spans="1:4" ht="13.5">
      <c r="A156" t="s">
        <v>2070</v>
      </c>
      <c r="D156" t="s">
        <v>1894</v>
      </c>
    </row>
    <row r="158" ht="13.5">
      <c r="A158" t="s">
        <v>2053</v>
      </c>
    </row>
    <row r="159" ht="13.5">
      <c r="A159" t="s">
        <v>2052</v>
      </c>
    </row>
    <row r="160" ht="13.5">
      <c r="A160" t="s">
        <v>2061</v>
      </c>
    </row>
    <row r="161" spans="1:5" ht="13.5">
      <c r="A161" t="s">
        <v>208</v>
      </c>
      <c r="E161" t="s">
        <v>209</v>
      </c>
    </row>
    <row r="162" spans="1:5" ht="13.5">
      <c r="A162" t="s">
        <v>207</v>
      </c>
      <c r="E162" t="s">
        <v>2029</v>
      </c>
    </row>
    <row r="163" spans="1:5" ht="13.5">
      <c r="A163" s="37" t="s">
        <v>848</v>
      </c>
      <c r="E163" t="s">
        <v>2029</v>
      </c>
    </row>
    <row r="164" spans="1:5" ht="13.5">
      <c r="A164" t="s">
        <v>210</v>
      </c>
      <c r="E164" t="s">
        <v>2030</v>
      </c>
    </row>
    <row r="165" spans="1:5" ht="13.5">
      <c r="A165" s="37" t="s">
        <v>1778</v>
      </c>
      <c r="E165" t="s">
        <v>2030</v>
      </c>
    </row>
    <row r="166" ht="13.5">
      <c r="E166" t="s">
        <v>1766</v>
      </c>
    </row>
    <row r="170" ht="13.5">
      <c r="A170" t="s">
        <v>1770</v>
      </c>
    </row>
    <row r="171" spans="1:5" ht="13.5">
      <c r="A171" t="s">
        <v>1769</v>
      </c>
      <c r="E171" t="s">
        <v>1773</v>
      </c>
    </row>
    <row r="172" spans="1:5" ht="13.5">
      <c r="A172" t="s">
        <v>1771</v>
      </c>
      <c r="E172" t="s">
        <v>1772</v>
      </c>
    </row>
    <row r="175" ht="13.5">
      <c r="A175" t="s">
        <v>1855</v>
      </c>
    </row>
    <row r="176" spans="1:5" ht="13.5">
      <c r="A176" t="s">
        <v>1856</v>
      </c>
      <c r="E176" t="s">
        <v>1773</v>
      </c>
    </row>
    <row r="177" spans="1:5" ht="13.5">
      <c r="A177" t="s">
        <v>1857</v>
      </c>
      <c r="E177" t="s">
        <v>1772</v>
      </c>
    </row>
    <row r="179" ht="13.5">
      <c r="A179" t="s">
        <v>138</v>
      </c>
    </row>
    <row r="180" ht="13.5">
      <c r="A180" t="s">
        <v>137</v>
      </c>
    </row>
    <row r="182" spans="1:3" ht="14.25">
      <c r="A182" s="62" t="s">
        <v>2054</v>
      </c>
      <c r="B182" s="62">
        <v>0.31</v>
      </c>
      <c r="C182" s="62" t="s">
        <v>2055</v>
      </c>
    </row>
    <row r="183" spans="1:3" ht="14.25">
      <c r="A183" s="62" t="s">
        <v>2056</v>
      </c>
      <c r="B183" s="62">
        <f>69/75</f>
        <v>0.92</v>
      </c>
      <c r="C183" s="62" t="s">
        <v>2057</v>
      </c>
    </row>
    <row r="184" spans="1:3" ht="14.25">
      <c r="A184" s="62" t="s">
        <v>2058</v>
      </c>
      <c r="B184" s="62">
        <f>-B183/4</f>
        <v>-0.23</v>
      </c>
      <c r="C184" s="62"/>
    </row>
    <row r="186" ht="14.25">
      <c r="A186" s="218" t="s">
        <v>124</v>
      </c>
    </row>
    <row r="187" ht="13.5">
      <c r="A187" t="s">
        <v>123</v>
      </c>
    </row>
    <row r="193" ht="13.5">
      <c r="A193" t="s">
        <v>353</v>
      </c>
    </row>
    <row r="194" ht="13.5">
      <c r="A194" t="s">
        <v>352</v>
      </c>
    </row>
    <row r="195" spans="1:2" ht="13.5">
      <c r="A195" t="s">
        <v>359</v>
      </c>
      <c r="B195" t="s">
        <v>354</v>
      </c>
    </row>
    <row r="196" spans="1:2" ht="13.5">
      <c r="A196" t="s">
        <v>358</v>
      </c>
      <c r="B196" t="s">
        <v>355</v>
      </c>
    </row>
    <row r="197" spans="1:2" ht="13.5">
      <c r="A197" t="s">
        <v>359</v>
      </c>
      <c r="B197" t="s">
        <v>357</v>
      </c>
    </row>
    <row r="198" spans="1:2" ht="13.5">
      <c r="A198" t="s">
        <v>358</v>
      </c>
      <c r="B198" t="s">
        <v>356</v>
      </c>
    </row>
    <row r="199" ht="13.5">
      <c r="A199" t="s">
        <v>360</v>
      </c>
    </row>
    <row r="200" ht="13.5">
      <c r="A200" t="s">
        <v>32</v>
      </c>
    </row>
  </sheetData>
  <hyperlinks>
    <hyperlink ref="A165" r:id="rId1" display="http://www.bloomberg.com/apps/quote?ticker=SHSZ300:IND"/>
    <hyperlink ref="A163" r:id="rId2" display="http://www.bloomberg.com/apps/quote?ticker=SSE50%3AIND"/>
  </hyperlinks>
  <printOptions/>
  <pageMargins left="0.75" right="0.75" top="1" bottom="1" header="0.512" footer="0.512"/>
  <pageSetup horizontalDpi="200" verticalDpi="200" orientation="portrait" paperSize="9" r:id="rId4"/>
  <drawing r:id="rId3"/>
</worksheet>
</file>

<file path=xl/worksheets/sheet10.xml><?xml version="1.0" encoding="utf-8"?>
<worksheet xmlns="http://schemas.openxmlformats.org/spreadsheetml/2006/main" xmlns:r="http://schemas.openxmlformats.org/officeDocument/2006/relationships">
  <sheetPr codeName="Sheet16"/>
  <dimension ref="A2:M48"/>
  <sheetViews>
    <sheetView workbookViewId="0" topLeftCell="A22">
      <selection activeCell="A22" sqref="A22"/>
    </sheetView>
  </sheetViews>
  <sheetFormatPr defaultColWidth="9.00390625" defaultRowHeight="13.5"/>
  <cols>
    <col min="1" max="1" width="17.50390625" style="0" bestFit="1" customWidth="1"/>
    <col min="2" max="2" width="9.25390625" style="0" customWidth="1"/>
    <col min="3" max="3" width="9.25390625" style="0" bestFit="1" customWidth="1"/>
  </cols>
  <sheetData>
    <row r="2" spans="1:2" ht="13.5">
      <c r="A2" s="71">
        <v>40157</v>
      </c>
      <c r="B2" t="s">
        <v>1718</v>
      </c>
    </row>
    <row r="3" spans="1:2" ht="13.5">
      <c r="A3" s="71"/>
      <c r="B3" t="s">
        <v>1720</v>
      </c>
    </row>
    <row r="4" spans="1:2" ht="13.5">
      <c r="A4" s="71">
        <v>40158</v>
      </c>
      <c r="B4" t="s">
        <v>1719</v>
      </c>
    </row>
    <row r="6" ht="13.5">
      <c r="A6" t="s">
        <v>1713</v>
      </c>
    </row>
    <row r="9" spans="1:13" ht="13.5">
      <c r="A9" t="s">
        <v>1711</v>
      </c>
      <c r="B9" t="s">
        <v>1710</v>
      </c>
      <c r="C9" t="s">
        <v>1706</v>
      </c>
      <c r="D9" t="s">
        <v>1707</v>
      </c>
      <c r="E9" t="s">
        <v>1708</v>
      </c>
      <c r="F9" t="s">
        <v>1709</v>
      </c>
      <c r="J9" t="s">
        <v>1721</v>
      </c>
      <c r="K9" t="s">
        <v>1722</v>
      </c>
      <c r="L9" t="s">
        <v>1723</v>
      </c>
      <c r="M9" t="s">
        <v>1724</v>
      </c>
    </row>
    <row r="10" spans="1:13" ht="13.5">
      <c r="A10" s="71">
        <v>40150</v>
      </c>
      <c r="B10" s="71"/>
      <c r="C10">
        <v>10366.15</v>
      </c>
      <c r="D10">
        <v>88.12</v>
      </c>
      <c r="E10">
        <v>9135</v>
      </c>
      <c r="H10" t="s">
        <v>1712</v>
      </c>
      <c r="J10">
        <f>E10/D10</f>
        <v>103.66545619609623</v>
      </c>
      <c r="L10">
        <f>C10*K10</f>
        <v>0</v>
      </c>
      <c r="M10">
        <f>J10+L10</f>
        <v>103.66545619609623</v>
      </c>
    </row>
    <row r="11" spans="1:13" ht="13.5">
      <c r="A11" s="71">
        <f>B11-1</f>
        <v>40155</v>
      </c>
      <c r="B11" s="71">
        <v>40156</v>
      </c>
      <c r="C11" s="100">
        <v>10285.97</v>
      </c>
      <c r="D11">
        <f>E11/C11*100</f>
        <v>87.21110432485159</v>
      </c>
      <c r="E11">
        <f>977785375/109000</f>
        <v>8970.508027522936</v>
      </c>
      <c r="F11" s="2"/>
      <c r="J11">
        <f>J10</f>
        <v>103.66545619609623</v>
      </c>
      <c r="K11">
        <f>J11/C11</f>
        <v>0.010078335460447214</v>
      </c>
      <c r="L11">
        <f>C11*K11</f>
        <v>103.66545619609623</v>
      </c>
      <c r="M11">
        <f>J11+L11</f>
        <v>207.33091239219246</v>
      </c>
    </row>
    <row r="12" spans="1:13" ht="13.5">
      <c r="A12" s="71">
        <f>B12-1</f>
        <v>40156</v>
      </c>
      <c r="B12" s="71">
        <v>40157</v>
      </c>
      <c r="C12" s="100">
        <v>10337.05</v>
      </c>
      <c r="D12">
        <f>E12/C12*100</f>
        <v>86.86961814429961</v>
      </c>
      <c r="E12">
        <f>978793389/109000</f>
        <v>8979.755862385322</v>
      </c>
      <c r="F12" s="2">
        <v>-0.0007</v>
      </c>
      <c r="K12">
        <f>K11</f>
        <v>0.010078335460447214</v>
      </c>
      <c r="L12">
        <f>C12*K12</f>
        <v>104.18025757141586</v>
      </c>
      <c r="M12">
        <f>J12+L12</f>
        <v>104.18025757141586</v>
      </c>
    </row>
    <row r="18" spans="1:4" ht="13.5">
      <c r="A18" t="s">
        <v>1465</v>
      </c>
      <c r="B18" t="s">
        <v>1466</v>
      </c>
      <c r="C18" t="s">
        <v>1467</v>
      </c>
      <c r="D18" t="s">
        <v>1503</v>
      </c>
    </row>
    <row r="19" spans="1:4" s="62" customFormat="1" ht="13.5">
      <c r="A19" s="62" t="s">
        <v>1468</v>
      </c>
      <c r="B19" s="62" t="s">
        <v>1435</v>
      </c>
      <c r="C19" s="356">
        <v>40182</v>
      </c>
      <c r="D19" s="357" t="s">
        <v>1469</v>
      </c>
    </row>
    <row r="20" spans="1:4" s="62" customFormat="1" ht="13.5">
      <c r="A20" s="62" t="s">
        <v>1468</v>
      </c>
      <c r="B20" s="62" t="s">
        <v>1436</v>
      </c>
      <c r="C20" s="356">
        <v>40184</v>
      </c>
      <c r="D20" s="357" t="s">
        <v>1470</v>
      </c>
    </row>
    <row r="21" spans="1:4" s="62" customFormat="1" ht="13.5">
      <c r="A21" s="62" t="s">
        <v>1468</v>
      </c>
      <c r="B21" s="62" t="s">
        <v>1437</v>
      </c>
      <c r="C21" s="356">
        <v>40184</v>
      </c>
      <c r="D21" s="357" t="s">
        <v>1471</v>
      </c>
    </row>
    <row r="22" spans="1:4" s="62" customFormat="1" ht="13.5">
      <c r="A22" s="62" t="s">
        <v>1468</v>
      </c>
      <c r="B22" s="62" t="s">
        <v>1438</v>
      </c>
      <c r="C22" s="356">
        <v>40185</v>
      </c>
      <c r="D22" s="357" t="s">
        <v>1472</v>
      </c>
    </row>
    <row r="23" spans="1:4" s="62" customFormat="1" ht="13.5">
      <c r="A23" s="62" t="s">
        <v>1468</v>
      </c>
      <c r="B23" s="62" t="s">
        <v>1439</v>
      </c>
      <c r="C23" s="356">
        <v>40193</v>
      </c>
      <c r="D23" s="357" t="s">
        <v>1473</v>
      </c>
    </row>
    <row r="24" spans="1:4" s="62" customFormat="1" ht="13.5">
      <c r="A24" s="62" t="s">
        <v>1468</v>
      </c>
      <c r="B24" s="62" t="s">
        <v>1440</v>
      </c>
      <c r="C24" s="356">
        <v>40198</v>
      </c>
      <c r="D24" s="357" t="s">
        <v>1474</v>
      </c>
    </row>
    <row r="25" spans="1:4" s="62" customFormat="1" ht="13.5">
      <c r="A25" s="62" t="s">
        <v>1475</v>
      </c>
      <c r="B25" s="62" t="s">
        <v>1441</v>
      </c>
      <c r="C25" s="356">
        <v>40212</v>
      </c>
      <c r="D25" s="357" t="s">
        <v>1476</v>
      </c>
    </row>
    <row r="26" spans="1:4" s="62" customFormat="1" ht="13.5">
      <c r="A26" s="62" t="s">
        <v>1475</v>
      </c>
      <c r="B26" s="62" t="s">
        <v>1442</v>
      </c>
      <c r="C26" s="356">
        <v>40212</v>
      </c>
      <c r="D26" s="357" t="s">
        <v>1477</v>
      </c>
    </row>
    <row r="27" spans="1:4" s="62" customFormat="1" ht="13.5">
      <c r="A27" s="62" t="s">
        <v>1475</v>
      </c>
      <c r="B27" s="62" t="s">
        <v>1443</v>
      </c>
      <c r="C27" s="356">
        <v>40212</v>
      </c>
      <c r="D27" s="357" t="s">
        <v>1478</v>
      </c>
    </row>
    <row r="28" spans="1:4" s="62" customFormat="1" ht="13.5">
      <c r="A28" s="62" t="s">
        <v>1475</v>
      </c>
      <c r="B28" s="62" t="s">
        <v>1444</v>
      </c>
      <c r="C28" s="356">
        <v>40212</v>
      </c>
      <c r="D28" s="357" t="s">
        <v>1479</v>
      </c>
    </row>
    <row r="29" spans="1:4" s="62" customFormat="1" ht="13.5">
      <c r="A29" s="62" t="s">
        <v>1475</v>
      </c>
      <c r="B29" s="62" t="s">
        <v>1445</v>
      </c>
      <c r="C29" s="356">
        <v>40217</v>
      </c>
      <c r="D29" s="357" t="s">
        <v>1480</v>
      </c>
    </row>
    <row r="30" spans="1:4" s="62" customFormat="1" ht="13.5">
      <c r="A30" s="62" t="s">
        <v>1475</v>
      </c>
      <c r="B30" s="62" t="s">
        <v>1446</v>
      </c>
      <c r="C30" s="356">
        <v>40217</v>
      </c>
      <c r="D30" s="357" t="s">
        <v>1481</v>
      </c>
    </row>
    <row r="31" spans="1:4" s="62" customFormat="1" ht="13.5">
      <c r="A31" s="62" t="s">
        <v>1475</v>
      </c>
      <c r="B31" s="62" t="s">
        <v>1447</v>
      </c>
      <c r="C31" s="356">
        <v>40219</v>
      </c>
      <c r="D31" s="357" t="s">
        <v>1482</v>
      </c>
    </row>
    <row r="32" spans="1:4" s="62" customFormat="1" ht="13.5">
      <c r="A32" s="62" t="s">
        <v>1475</v>
      </c>
      <c r="B32" s="62" t="s">
        <v>1448</v>
      </c>
      <c r="C32" s="356">
        <v>40221</v>
      </c>
      <c r="D32" s="357" t="s">
        <v>1483</v>
      </c>
    </row>
    <row r="33" spans="1:4" s="62" customFormat="1" ht="13.5">
      <c r="A33" s="62" t="s">
        <v>1475</v>
      </c>
      <c r="B33" s="62" t="s">
        <v>1449</v>
      </c>
      <c r="C33" s="356">
        <v>40225</v>
      </c>
      <c r="D33" s="357" t="s">
        <v>1484</v>
      </c>
    </row>
    <row r="34" spans="1:4" s="62" customFormat="1" ht="13.5">
      <c r="A34" s="62" t="s">
        <v>1475</v>
      </c>
      <c r="B34" s="62" t="s">
        <v>1450</v>
      </c>
      <c r="C34" s="356">
        <v>40226</v>
      </c>
      <c r="D34" s="357" t="s">
        <v>1485</v>
      </c>
    </row>
    <row r="35" spans="1:4" s="62" customFormat="1" ht="13.5">
      <c r="A35" s="62" t="s">
        <v>1475</v>
      </c>
      <c r="B35" s="62" t="s">
        <v>1451</v>
      </c>
      <c r="C35" s="356">
        <v>40226</v>
      </c>
      <c r="D35" s="357" t="s">
        <v>1486</v>
      </c>
    </row>
    <row r="36" spans="1:4" s="62" customFormat="1" ht="13.5">
      <c r="A36" s="62" t="s">
        <v>1475</v>
      </c>
      <c r="B36" s="62" t="s">
        <v>1452</v>
      </c>
      <c r="C36" s="356">
        <v>40228</v>
      </c>
      <c r="D36" s="357" t="s">
        <v>1487</v>
      </c>
    </row>
    <row r="37" spans="1:4" s="62" customFormat="1" ht="13.5">
      <c r="A37" s="62" t="s">
        <v>1475</v>
      </c>
      <c r="B37" s="62" t="s">
        <v>1453</v>
      </c>
      <c r="C37" s="356">
        <v>40234</v>
      </c>
      <c r="D37" s="357" t="s">
        <v>1488</v>
      </c>
    </row>
    <row r="38" spans="1:4" s="62" customFormat="1" ht="13.5">
      <c r="A38" s="62" t="s">
        <v>1475</v>
      </c>
      <c r="B38" s="62" t="s">
        <v>1454</v>
      </c>
      <c r="C38" s="356">
        <v>40234</v>
      </c>
      <c r="D38" s="357" t="s">
        <v>1489</v>
      </c>
    </row>
    <row r="39" spans="1:4" s="62" customFormat="1" ht="13.5">
      <c r="A39" s="62" t="s">
        <v>1492</v>
      </c>
      <c r="B39" s="62" t="s">
        <v>1455</v>
      </c>
      <c r="C39" s="356">
        <v>40240</v>
      </c>
      <c r="D39" s="357" t="s">
        <v>1493</v>
      </c>
    </row>
    <row r="40" spans="1:4" s="62" customFormat="1" ht="13.5">
      <c r="A40" s="62" t="s">
        <v>1492</v>
      </c>
      <c r="B40" s="62" t="s">
        <v>1456</v>
      </c>
      <c r="C40" s="356">
        <v>40245</v>
      </c>
      <c r="D40" s="357" t="s">
        <v>1494</v>
      </c>
    </row>
    <row r="41" spans="1:4" s="62" customFormat="1" ht="13.5">
      <c r="A41" s="62" t="s">
        <v>1492</v>
      </c>
      <c r="B41" s="62" t="s">
        <v>1457</v>
      </c>
      <c r="C41" s="356">
        <v>40246</v>
      </c>
      <c r="D41" s="357" t="s">
        <v>1495</v>
      </c>
    </row>
    <row r="42" spans="1:4" s="62" customFormat="1" ht="13.5">
      <c r="A42" s="62" t="s">
        <v>1492</v>
      </c>
      <c r="B42" s="62" t="s">
        <v>1458</v>
      </c>
      <c r="C42" s="356">
        <v>40156</v>
      </c>
      <c r="D42" s="357" t="s">
        <v>1496</v>
      </c>
    </row>
    <row r="43" spans="1:4" s="62" customFormat="1" ht="13.5">
      <c r="A43" s="62" t="s">
        <v>1492</v>
      </c>
      <c r="B43" s="62" t="s">
        <v>1459</v>
      </c>
      <c r="C43" s="356">
        <v>40158</v>
      </c>
      <c r="D43" s="357" t="s">
        <v>1497</v>
      </c>
    </row>
    <row r="44" spans="1:4" s="62" customFormat="1" ht="13.5">
      <c r="A44" s="62" t="s">
        <v>1492</v>
      </c>
      <c r="B44" s="62" t="s">
        <v>1460</v>
      </c>
      <c r="C44" s="356">
        <v>40161</v>
      </c>
      <c r="D44" s="357" t="s">
        <v>1498</v>
      </c>
    </row>
    <row r="45" spans="1:4" s="62" customFormat="1" ht="13.5">
      <c r="A45" s="62" t="s">
        <v>1492</v>
      </c>
      <c r="B45" s="62" t="s">
        <v>1461</v>
      </c>
      <c r="C45" s="356">
        <v>40174</v>
      </c>
      <c r="D45" s="357" t="s">
        <v>1499</v>
      </c>
    </row>
    <row r="46" spans="1:4" s="62" customFormat="1" ht="13.5">
      <c r="A46" s="62" t="s">
        <v>1492</v>
      </c>
      <c r="B46" s="62" t="s">
        <v>1462</v>
      </c>
      <c r="C46" s="356">
        <v>40175</v>
      </c>
      <c r="D46" s="357" t="s">
        <v>1500</v>
      </c>
    </row>
    <row r="47" spans="1:4" s="62" customFormat="1" ht="13.5">
      <c r="A47" s="62">
        <v>12</v>
      </c>
      <c r="B47" s="62" t="s">
        <v>1463</v>
      </c>
      <c r="C47" s="356">
        <v>40157</v>
      </c>
      <c r="D47" s="357" t="s">
        <v>1501</v>
      </c>
    </row>
    <row r="48" spans="1:4" s="62" customFormat="1" ht="13.5">
      <c r="A48" s="62" t="s">
        <v>1298</v>
      </c>
      <c r="B48" s="62" t="s">
        <v>1464</v>
      </c>
      <c r="C48" s="356"/>
      <c r="D48" s="357" t="s">
        <v>1502</v>
      </c>
    </row>
  </sheetData>
  <printOptions/>
  <pageMargins left="0.75" right="0.75" top="1" bottom="1" header="0.512" footer="0.512"/>
  <pageSetup orientation="portrait" paperSize="9"/>
  <legacyDrawing r:id="rId2"/>
</worksheet>
</file>

<file path=xl/worksheets/sheet11.xml><?xml version="1.0" encoding="utf-8"?>
<worksheet xmlns="http://schemas.openxmlformats.org/spreadsheetml/2006/main" xmlns:r="http://schemas.openxmlformats.org/officeDocument/2006/relationships">
  <sheetPr codeName="Sheet15"/>
  <dimension ref="A1:H18"/>
  <sheetViews>
    <sheetView workbookViewId="0" topLeftCell="A3">
      <selection activeCell="A24" sqref="A24"/>
    </sheetView>
  </sheetViews>
  <sheetFormatPr defaultColWidth="9.00390625" defaultRowHeight="13.5"/>
  <cols>
    <col min="2" max="2" width="15.00390625" style="0" bestFit="1" customWidth="1"/>
  </cols>
  <sheetData>
    <row r="1" spans="2:8" ht="13.5">
      <c r="B1" t="s">
        <v>1068</v>
      </c>
      <c r="C1" t="s">
        <v>1070</v>
      </c>
      <c r="D1" t="s">
        <v>1072</v>
      </c>
      <c r="E1" t="s">
        <v>1074</v>
      </c>
      <c r="F1" t="s">
        <v>1076</v>
      </c>
      <c r="G1" t="s">
        <v>1078</v>
      </c>
      <c r="H1" t="s">
        <v>1080</v>
      </c>
    </row>
    <row r="2" spans="1:7" ht="13.5">
      <c r="A2">
        <v>2</v>
      </c>
      <c r="B2" s="164">
        <f>'基準価額'!G175-1</f>
        <v>40241.47152777778</v>
      </c>
      <c r="D2" t="s">
        <v>1021</v>
      </c>
      <c r="E2" t="str">
        <f>'基準価額'!A175</f>
        <v>DJIA先物期近</v>
      </c>
      <c r="F2" t="str">
        <f>'基準価額'!G173</f>
        <v>DJIA-Time</v>
      </c>
      <c r="G2">
        <f>'基準価額'!H175</f>
        <v>0.5191214576851265</v>
      </c>
    </row>
    <row r="3" spans="1:8" ht="13.5">
      <c r="A3">
        <v>2</v>
      </c>
      <c r="B3" s="164">
        <f>'基準価額'!D95</f>
        <v>40253</v>
      </c>
      <c r="D3" t="s">
        <v>1021</v>
      </c>
      <c r="E3" t="str">
        <f>'基準価額'!B95</f>
        <v>上海株式指数・上証50連動型上場投資信託</v>
      </c>
      <c r="F3" t="s">
        <v>1043</v>
      </c>
      <c r="G3" s="141">
        <f>'基準価額'!E95</f>
        <v>27934</v>
      </c>
      <c r="H3" s="141">
        <f>'基準価額'!F95</f>
        <v>29781.32</v>
      </c>
    </row>
    <row r="4" spans="1:8" ht="13.5">
      <c r="A4">
        <v>2</v>
      </c>
      <c r="B4" s="164">
        <f>'基準価額'!D96</f>
        <v>40249</v>
      </c>
      <c r="D4" t="s">
        <v>1021</v>
      </c>
      <c r="E4" t="str">
        <f>'基準価額'!B96</f>
        <v>ＮＥＸＴ ＦＵＮＤＳ 南アフリカ株式指数・ＦＴＳＥ/ＪＳＥ Ａｆｒｉｃａ Ｔｏｐ40連動型上場投信</v>
      </c>
      <c r="F4" t="s">
        <v>1043</v>
      </c>
      <c r="G4" s="141">
        <f>'基準価額'!E96</f>
        <v>31345</v>
      </c>
      <c r="H4" s="141">
        <f>'基準価額'!F96</f>
        <v>304163.93</v>
      </c>
    </row>
    <row r="5" spans="1:8" ht="13.5">
      <c r="A5">
        <v>2</v>
      </c>
      <c r="B5" s="164">
        <f>'基準価額'!D97</f>
        <v>40249</v>
      </c>
      <c r="D5" t="s">
        <v>1021</v>
      </c>
      <c r="E5" t="str">
        <f>'基準価額'!B97</f>
        <v>ＮＥＸＴ ＦＵＮＤＳ ロシア株式指数・ＲＴＳ連動型上場投信</v>
      </c>
      <c r="F5" t="s">
        <v>1043</v>
      </c>
      <c r="G5" s="141">
        <f>'基準価額'!E97</f>
        <v>14951</v>
      </c>
      <c r="H5" s="141">
        <f>'基準価額'!F97</f>
        <v>136145.7</v>
      </c>
    </row>
    <row r="6" spans="1:8" ht="13.5">
      <c r="A6">
        <v>2</v>
      </c>
      <c r="B6" s="164">
        <f>'基準価額'!D98</f>
        <v>40249</v>
      </c>
      <c r="D6" t="s">
        <v>1021</v>
      </c>
      <c r="E6" t="str">
        <f>'基準価額'!B98</f>
        <v>ＮＥＸＴ ＦＵＮＤＳ ブラジル株式指数・ボベスパ連動型上場投信</v>
      </c>
      <c r="F6" t="s">
        <v>1043</v>
      </c>
      <c r="G6" s="141">
        <f>'基準価額'!E98</f>
        <v>33514</v>
      </c>
      <c r="H6" s="141">
        <f>'基準価額'!F98</f>
        <v>3575604.14</v>
      </c>
    </row>
    <row r="7" spans="1:8" ht="13.5">
      <c r="A7">
        <v>2</v>
      </c>
      <c r="B7" s="164">
        <f>'基準価額'!D99</f>
        <v>40249</v>
      </c>
      <c r="D7" t="s">
        <v>1021</v>
      </c>
      <c r="E7" t="str">
        <f>'基準価額'!B99</f>
        <v>NEXT FUNDS インド株式指数・S&amp;P CNX Nifty連動型上場投信</v>
      </c>
      <c r="F7" t="s">
        <v>1043</v>
      </c>
      <c r="G7" s="141">
        <f>'基準価額'!E99</f>
        <v>9937</v>
      </c>
      <c r="H7" s="141">
        <f>'基準価額'!F99</f>
        <v>10202.63</v>
      </c>
    </row>
    <row r="8" spans="1:8" ht="13.5">
      <c r="A8">
        <v>2</v>
      </c>
      <c r="B8" s="164">
        <f>'基準価額'!D100</f>
        <v>40254</v>
      </c>
      <c r="D8" t="s">
        <v>1021</v>
      </c>
      <c r="E8" t="str">
        <f>'基準価額'!B100</f>
        <v>金価格連動型上場投資信託</v>
      </c>
      <c r="F8" t="s">
        <v>1043</v>
      </c>
      <c r="G8" s="141">
        <f>'基準価額'!E100</f>
        <v>3113</v>
      </c>
      <c r="H8" s="141">
        <f>'基準価額'!F100</f>
        <v>3270.09</v>
      </c>
    </row>
    <row r="9" spans="1:8" ht="13.5">
      <c r="A9">
        <v>2</v>
      </c>
      <c r="B9" s="71">
        <f>'基準価額'!D109</f>
        <v>40247</v>
      </c>
      <c r="D9" t="s">
        <v>1021</v>
      </c>
      <c r="E9" t="str">
        <f>'基準価額'!B109</f>
        <v>イージーETF S&amp;P GSCI 商品指数 クラスA米ドル建</v>
      </c>
      <c r="F9" t="s">
        <v>1043</v>
      </c>
      <c r="G9">
        <f>'基準価額'!E109</f>
        <v>3883.89</v>
      </c>
      <c r="H9" s="2">
        <f>'基準価額'!F109</f>
        <v>-0.0357</v>
      </c>
    </row>
    <row r="10" spans="1:8" ht="13.5">
      <c r="A10">
        <v>2</v>
      </c>
      <c r="B10" s="71">
        <f>'基準価額'!D118</f>
        <v>40248</v>
      </c>
      <c r="D10" t="s">
        <v>1021</v>
      </c>
      <c r="E10" t="str">
        <f>'基準価額'!B118</f>
        <v>ABF汎アジア債券インデックス・ファンド</v>
      </c>
      <c r="F10" t="s">
        <v>1043</v>
      </c>
      <c r="G10">
        <f>'基準価額'!E118</f>
        <v>10423</v>
      </c>
      <c r="H10">
        <f>'基準価額'!F118</f>
        <v>-0.1969</v>
      </c>
    </row>
    <row r="11" spans="1:8" ht="13.5">
      <c r="A11">
        <v>2</v>
      </c>
      <c r="B11" s="71">
        <f>'基準価額'!D122</f>
        <v>40254</v>
      </c>
      <c r="D11" t="s">
        <v>1021</v>
      </c>
      <c r="E11" t="str">
        <f>'基準価額'!B122</f>
        <v>ＷＴＩ原油価格連動型上場投信</v>
      </c>
      <c r="F11" t="s">
        <v>1043</v>
      </c>
      <c r="G11">
        <f>'基準価額'!E122</f>
        <v>6257</v>
      </c>
      <c r="H11">
        <f>'基準価額'!F122</f>
        <v>-0.1582</v>
      </c>
    </row>
    <row r="12" spans="1:8" ht="13.5">
      <c r="A12">
        <v>2</v>
      </c>
      <c r="B12" s="71">
        <f>'基準価額'!D123</f>
        <v>40254</v>
      </c>
      <c r="D12" t="s">
        <v>1021</v>
      </c>
      <c r="E12" t="str">
        <f>'基準価額'!B123</f>
        <v>Simple-X NYダウ・ジョーンズ・インデックス上場投信 </v>
      </c>
      <c r="F12" t="s">
        <v>1043</v>
      </c>
      <c r="G12">
        <f>'基準価額'!E123</f>
        <v>9384</v>
      </c>
      <c r="H12">
        <f>'基準価額'!F123</f>
        <v>-0.0034</v>
      </c>
    </row>
    <row r="13" spans="1:7" ht="13.5">
      <c r="A13">
        <v>1</v>
      </c>
      <c r="B13" s="71">
        <v>40242</v>
      </c>
      <c r="C13" s="71">
        <f>B14-1</f>
        <v>40244</v>
      </c>
      <c r="D13" t="s">
        <v>1021</v>
      </c>
      <c r="E13" t="s">
        <v>2032</v>
      </c>
      <c r="F13" t="s">
        <v>1665</v>
      </c>
      <c r="G13">
        <v>0.8</v>
      </c>
    </row>
    <row r="14" spans="1:7" ht="13.5">
      <c r="A14">
        <v>1</v>
      </c>
      <c r="B14" s="71">
        <v>40245</v>
      </c>
      <c r="C14" s="71">
        <f>B15-1</f>
        <v>40245</v>
      </c>
      <c r="D14" t="s">
        <v>1021</v>
      </c>
      <c r="E14" t="s">
        <v>2032</v>
      </c>
      <c r="F14" t="s">
        <v>1665</v>
      </c>
      <c r="G14">
        <v>0.6</v>
      </c>
    </row>
    <row r="15" spans="1:7" ht="13.5">
      <c r="A15">
        <v>1</v>
      </c>
      <c r="B15" s="71">
        <v>40246</v>
      </c>
      <c r="C15" s="71">
        <f>B16-1</f>
        <v>40246</v>
      </c>
      <c r="D15" t="s">
        <v>1021</v>
      </c>
      <c r="E15" t="s">
        <v>2032</v>
      </c>
      <c r="F15" t="s">
        <v>1665</v>
      </c>
      <c r="G15">
        <v>0.4</v>
      </c>
    </row>
    <row r="16" spans="1:7" ht="13.5">
      <c r="A16">
        <v>1</v>
      </c>
      <c r="B16" s="71">
        <v>40247</v>
      </c>
      <c r="C16" s="71">
        <f>B17-1</f>
        <v>40247</v>
      </c>
      <c r="D16" t="s">
        <v>1021</v>
      </c>
      <c r="E16" t="s">
        <v>2032</v>
      </c>
      <c r="F16" t="s">
        <v>1665</v>
      </c>
      <c r="G16">
        <v>0.2</v>
      </c>
    </row>
    <row r="17" spans="1:7" ht="13.5">
      <c r="A17">
        <v>1</v>
      </c>
      <c r="B17" s="71">
        <v>40248</v>
      </c>
      <c r="C17" s="71">
        <f>B18-1</f>
        <v>40294</v>
      </c>
      <c r="D17" t="s">
        <v>1021</v>
      </c>
      <c r="E17" t="s">
        <v>2032</v>
      </c>
      <c r="F17" t="s">
        <v>1665</v>
      </c>
      <c r="G17">
        <v>0</v>
      </c>
    </row>
    <row r="18" spans="1:7" ht="13.5">
      <c r="A18">
        <v>1</v>
      </c>
      <c r="B18" s="71">
        <v>40295</v>
      </c>
      <c r="C18" s="71">
        <v>40310</v>
      </c>
      <c r="D18" t="s">
        <v>1021</v>
      </c>
      <c r="E18" t="s">
        <v>2032</v>
      </c>
      <c r="F18" t="s">
        <v>1665</v>
      </c>
      <c r="G18">
        <v>1</v>
      </c>
    </row>
  </sheetData>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sheetPr codeName="Sheet8"/>
  <dimension ref="A1:H30"/>
  <sheetViews>
    <sheetView workbookViewId="0" topLeftCell="A15">
      <selection activeCell="B22" sqref="B22"/>
    </sheetView>
  </sheetViews>
  <sheetFormatPr defaultColWidth="9.00390625" defaultRowHeight="13.5"/>
  <cols>
    <col min="1" max="1" width="9.125" style="0" bestFit="1" customWidth="1"/>
    <col min="2" max="3" width="15.125" style="3" bestFit="1" customWidth="1"/>
    <col min="4" max="4" width="9.00390625" style="51" customWidth="1"/>
    <col min="5" max="5" width="37.875" style="96" customWidth="1"/>
    <col min="6" max="6" width="9.00390625" style="51" customWidth="1"/>
    <col min="7" max="7" width="13.75390625" style="51" bestFit="1" customWidth="1"/>
    <col min="8" max="8" width="14.25390625" style="51" bestFit="1" customWidth="1"/>
  </cols>
  <sheetData>
    <row r="1" spans="1:8" ht="13.5">
      <c r="A1" s="155"/>
      <c r="B1" s="156" t="s">
        <v>1068</v>
      </c>
      <c r="C1" s="156" t="s">
        <v>1070</v>
      </c>
      <c r="D1" s="157" t="s">
        <v>1072</v>
      </c>
      <c r="E1" s="158" t="s">
        <v>1074</v>
      </c>
      <c r="F1" s="158" t="s">
        <v>1076</v>
      </c>
      <c r="G1" s="158" t="s">
        <v>1078</v>
      </c>
      <c r="H1" s="158" t="s">
        <v>1080</v>
      </c>
    </row>
    <row r="2" spans="1:7" ht="13.5">
      <c r="A2" s="155">
        <v>3</v>
      </c>
      <c r="B2" s="263">
        <v>40018</v>
      </c>
      <c r="C2" s="263"/>
      <c r="D2" s="159" t="s">
        <v>1021</v>
      </c>
      <c r="E2" s="158" t="s">
        <v>1231</v>
      </c>
      <c r="F2" s="159" t="s">
        <v>1232</v>
      </c>
      <c r="G2" s="263">
        <v>40245</v>
      </c>
    </row>
    <row r="3" spans="1:8" ht="13.5">
      <c r="A3" s="155">
        <v>2</v>
      </c>
      <c r="B3" s="263">
        <v>40241.47152777778</v>
      </c>
      <c r="C3" s="263"/>
      <c r="D3" s="159" t="s">
        <v>1021</v>
      </c>
      <c r="E3" s="158" t="s">
        <v>1805</v>
      </c>
      <c r="F3" s="159" t="s">
        <v>2060</v>
      </c>
      <c r="G3" s="51">
        <v>0.52</v>
      </c>
      <c r="H3" s="163"/>
    </row>
    <row r="4" spans="1:8" ht="13.5">
      <c r="A4" s="155">
        <v>2</v>
      </c>
      <c r="B4" s="263">
        <v>40242</v>
      </c>
      <c r="C4" s="263"/>
      <c r="D4" s="159" t="s">
        <v>1021</v>
      </c>
      <c r="E4" s="158" t="s">
        <v>1290</v>
      </c>
      <c r="F4" s="159" t="s">
        <v>1043</v>
      </c>
      <c r="G4" s="51">
        <v>27501</v>
      </c>
      <c r="H4" s="162">
        <v>29290.86</v>
      </c>
    </row>
    <row r="5" spans="1:8" ht="13.5">
      <c r="A5" s="155">
        <v>2</v>
      </c>
      <c r="B5" s="263">
        <v>40242</v>
      </c>
      <c r="C5" s="263"/>
      <c r="D5" s="159" t="s">
        <v>1021</v>
      </c>
      <c r="E5" s="158" t="s">
        <v>1036</v>
      </c>
      <c r="F5" s="159" t="s">
        <v>1043</v>
      </c>
      <c r="G5" s="51">
        <v>30565</v>
      </c>
      <c r="H5" s="162">
        <v>296489.73</v>
      </c>
    </row>
    <row r="6" spans="1:8" ht="13.5">
      <c r="A6" s="155">
        <v>2</v>
      </c>
      <c r="B6" s="263">
        <v>40242</v>
      </c>
      <c r="C6" s="263"/>
      <c r="D6" s="159" t="s">
        <v>1021</v>
      </c>
      <c r="E6" s="158" t="s">
        <v>1037</v>
      </c>
      <c r="F6" s="159" t="s">
        <v>1043</v>
      </c>
      <c r="G6" s="51">
        <v>14381</v>
      </c>
      <c r="H6" s="162">
        <v>130807.67</v>
      </c>
    </row>
    <row r="7" spans="1:8" ht="13.5">
      <c r="A7" s="155">
        <v>2</v>
      </c>
      <c r="B7" s="263">
        <v>40242</v>
      </c>
      <c r="C7" s="263"/>
      <c r="D7" s="159" t="s">
        <v>1021</v>
      </c>
      <c r="E7" s="158" t="s">
        <v>1046</v>
      </c>
      <c r="F7" s="159" t="s">
        <v>1043</v>
      </c>
      <c r="G7" s="51">
        <v>31609</v>
      </c>
      <c r="H7" s="162">
        <v>3369428.12</v>
      </c>
    </row>
    <row r="8" spans="1:8" ht="13.5">
      <c r="A8" s="155">
        <v>2</v>
      </c>
      <c r="B8" s="263">
        <v>40242</v>
      </c>
      <c r="C8" s="263"/>
      <c r="D8" s="159" t="s">
        <v>1021</v>
      </c>
      <c r="E8" s="158" t="s">
        <v>34</v>
      </c>
      <c r="F8" s="159" t="s">
        <v>1043</v>
      </c>
      <c r="G8" s="51">
        <v>9548</v>
      </c>
      <c r="H8" s="157">
        <v>9801.33</v>
      </c>
    </row>
    <row r="9" spans="1:8" ht="13.5">
      <c r="A9" s="155">
        <v>2</v>
      </c>
      <c r="B9" s="263">
        <v>40242</v>
      </c>
      <c r="C9" s="263"/>
      <c r="D9" s="159" t="s">
        <v>1021</v>
      </c>
      <c r="E9" s="158" t="s">
        <v>1938</v>
      </c>
      <c r="F9" s="159" t="s">
        <v>1043</v>
      </c>
      <c r="G9" s="51">
        <v>3090</v>
      </c>
      <c r="H9" s="157">
        <v>3244.82</v>
      </c>
    </row>
    <row r="10" spans="1:8" ht="13.5">
      <c r="A10" s="155">
        <v>2</v>
      </c>
      <c r="B10" s="263">
        <v>40240</v>
      </c>
      <c r="C10" s="263"/>
      <c r="D10" s="159" t="s">
        <v>1021</v>
      </c>
      <c r="E10" s="158" t="s">
        <v>1908</v>
      </c>
      <c r="F10" s="159" t="s">
        <v>1043</v>
      </c>
      <c r="G10" s="51">
        <v>3824.38</v>
      </c>
      <c r="H10" s="157">
        <v>-0.0355</v>
      </c>
    </row>
    <row r="11" spans="1:8" ht="13.5">
      <c r="A11" s="155">
        <v>2</v>
      </c>
      <c r="B11" s="263">
        <v>40241</v>
      </c>
      <c r="C11" s="263"/>
      <c r="D11" s="159" t="s">
        <v>1021</v>
      </c>
      <c r="E11" s="158" t="s">
        <v>1584</v>
      </c>
      <c r="F11" s="159" t="s">
        <v>1043</v>
      </c>
      <c r="G11" s="51">
        <v>10138</v>
      </c>
      <c r="H11" s="157">
        <v>-0.1968</v>
      </c>
    </row>
    <row r="12" spans="1:8" ht="13.5">
      <c r="A12" s="155">
        <v>2</v>
      </c>
      <c r="B12" s="263">
        <v>40242</v>
      </c>
      <c r="C12" s="263"/>
      <c r="D12" s="159" t="s">
        <v>1021</v>
      </c>
      <c r="E12" s="158" t="s">
        <v>1337</v>
      </c>
      <c r="F12" s="159" t="s">
        <v>1043</v>
      </c>
      <c r="G12" s="51">
        <v>6042</v>
      </c>
      <c r="H12" s="51">
        <v>-0.156</v>
      </c>
    </row>
    <row r="13" spans="1:8" ht="13.5">
      <c r="A13" s="155">
        <v>2</v>
      </c>
      <c r="B13" s="263">
        <v>40242</v>
      </c>
      <c r="C13" s="263"/>
      <c r="D13" s="159" t="s">
        <v>1021</v>
      </c>
      <c r="E13" s="158" t="s">
        <v>662</v>
      </c>
      <c r="F13" s="159" t="s">
        <v>1043</v>
      </c>
      <c r="G13" s="51">
        <v>9037</v>
      </c>
      <c r="H13" s="51">
        <v>-0.0032</v>
      </c>
    </row>
    <row r="14" spans="1:7" ht="13.5">
      <c r="A14" s="155">
        <v>1</v>
      </c>
      <c r="B14" s="263">
        <v>40242</v>
      </c>
      <c r="C14" s="263">
        <v>40244</v>
      </c>
      <c r="D14" s="159" t="s">
        <v>1021</v>
      </c>
      <c r="E14" s="158" t="s">
        <v>2032</v>
      </c>
      <c r="F14" s="159" t="s">
        <v>1665</v>
      </c>
      <c r="G14" s="51">
        <v>0.8</v>
      </c>
    </row>
    <row r="15" spans="1:7" ht="13.5">
      <c r="A15" s="155">
        <v>1</v>
      </c>
      <c r="B15" s="263">
        <v>40245</v>
      </c>
      <c r="C15" s="263">
        <v>40245</v>
      </c>
      <c r="D15" s="159" t="s">
        <v>1021</v>
      </c>
      <c r="E15" s="158" t="s">
        <v>2032</v>
      </c>
      <c r="F15" s="159" t="s">
        <v>1665</v>
      </c>
      <c r="G15" s="51">
        <v>0.6</v>
      </c>
    </row>
    <row r="16" spans="1:7" ht="13.5">
      <c r="A16" s="155">
        <v>1</v>
      </c>
      <c r="B16" s="263">
        <v>40246</v>
      </c>
      <c r="C16" s="263">
        <v>40246</v>
      </c>
      <c r="D16" s="159" t="s">
        <v>1021</v>
      </c>
      <c r="E16" s="158" t="s">
        <v>2032</v>
      </c>
      <c r="F16" s="159" t="s">
        <v>1665</v>
      </c>
      <c r="G16" s="51">
        <v>0.4</v>
      </c>
    </row>
    <row r="17" spans="1:7" ht="13.5">
      <c r="A17" s="155">
        <v>1</v>
      </c>
      <c r="B17" s="263">
        <v>40247</v>
      </c>
      <c r="C17" s="263">
        <v>40247</v>
      </c>
      <c r="D17" s="159" t="s">
        <v>1021</v>
      </c>
      <c r="E17" s="158" t="s">
        <v>2032</v>
      </c>
      <c r="F17" s="159" t="s">
        <v>1665</v>
      </c>
      <c r="G17" s="51">
        <v>0.2</v>
      </c>
    </row>
    <row r="18" spans="1:7" ht="13.5">
      <c r="A18" s="155">
        <v>1</v>
      </c>
      <c r="B18" s="263">
        <v>40248</v>
      </c>
      <c r="C18" s="263">
        <v>40294</v>
      </c>
      <c r="D18" s="159" t="s">
        <v>1021</v>
      </c>
      <c r="E18" s="158" t="s">
        <v>2032</v>
      </c>
      <c r="F18" s="159" t="s">
        <v>1665</v>
      </c>
      <c r="G18" s="51">
        <v>0</v>
      </c>
    </row>
    <row r="19" spans="1:7" ht="13.5">
      <c r="A19" s="155">
        <v>1</v>
      </c>
      <c r="B19" s="263">
        <v>40295</v>
      </c>
      <c r="C19" s="263">
        <v>40310</v>
      </c>
      <c r="D19" s="159" t="s">
        <v>1021</v>
      </c>
      <c r="E19" s="158" t="s">
        <v>2032</v>
      </c>
      <c r="F19" s="159" t="s">
        <v>1665</v>
      </c>
      <c r="G19" s="51">
        <v>1</v>
      </c>
    </row>
    <row r="20" spans="1:8" ht="14.25">
      <c r="A20" s="155">
        <v>1</v>
      </c>
      <c r="B20" s="263">
        <v>40266</v>
      </c>
      <c r="C20" s="263">
        <v>40266</v>
      </c>
      <c r="D20" t="s">
        <v>1027</v>
      </c>
      <c r="E20" t="s">
        <v>1030</v>
      </c>
      <c r="F20" s="159" t="s">
        <v>1943</v>
      </c>
      <c r="G20">
        <v>5.266941051</v>
      </c>
      <c r="H20" s="97"/>
    </row>
    <row r="21" spans="1:8" ht="13.5">
      <c r="A21" s="155">
        <v>1</v>
      </c>
      <c r="B21" s="263">
        <v>40266</v>
      </c>
      <c r="C21" s="263">
        <v>40266</v>
      </c>
      <c r="D21" t="s">
        <v>1027</v>
      </c>
      <c r="E21" t="s">
        <v>1029</v>
      </c>
      <c r="F21" s="159" t="s">
        <v>1943</v>
      </c>
      <c r="G21">
        <v>5.279430397011296</v>
      </c>
      <c r="H21" s="95"/>
    </row>
    <row r="22" spans="1:8" ht="14.25">
      <c r="A22" s="155">
        <v>1</v>
      </c>
      <c r="B22" s="263">
        <v>40266</v>
      </c>
      <c r="C22" s="263">
        <v>40266</v>
      </c>
      <c r="D22" t="s">
        <v>1027</v>
      </c>
      <c r="E22" t="s">
        <v>1028</v>
      </c>
      <c r="F22" s="159" t="s">
        <v>1943</v>
      </c>
      <c r="G22">
        <v>74.7498179464358</v>
      </c>
      <c r="H22" s="97"/>
    </row>
    <row r="23" spans="1:8" ht="14.25">
      <c r="A23" s="155">
        <v>1</v>
      </c>
      <c r="B23" s="263">
        <v>40266</v>
      </c>
      <c r="C23" s="263">
        <v>40266</v>
      </c>
      <c r="D23" t="s">
        <v>1027</v>
      </c>
      <c r="E23" t="s">
        <v>480</v>
      </c>
      <c r="F23" s="159" t="s">
        <v>1943</v>
      </c>
      <c r="G23">
        <v>8.41977441380642</v>
      </c>
      <c r="H23" s="97"/>
    </row>
    <row r="24" spans="1:8" ht="14.25">
      <c r="A24" s="155">
        <v>1</v>
      </c>
      <c r="B24" s="263">
        <v>40325</v>
      </c>
      <c r="C24" s="263">
        <v>40325</v>
      </c>
      <c r="D24" t="s">
        <v>1027</v>
      </c>
      <c r="E24" t="s">
        <v>1028</v>
      </c>
      <c r="F24" s="159" t="s">
        <v>1943</v>
      </c>
      <c r="G24">
        <v>74.7498179464358</v>
      </c>
      <c r="H24" s="97"/>
    </row>
    <row r="25" spans="1:8" ht="14.25">
      <c r="A25" s="155">
        <v>1</v>
      </c>
      <c r="B25" s="263">
        <v>40325</v>
      </c>
      <c r="C25" s="263">
        <v>40325</v>
      </c>
      <c r="D25" t="s">
        <v>1027</v>
      </c>
      <c r="E25" t="s">
        <v>480</v>
      </c>
      <c r="F25" s="159" t="s">
        <v>1943</v>
      </c>
      <c r="G25">
        <v>8.41977441380642</v>
      </c>
      <c r="H25" s="97"/>
    </row>
    <row r="26" spans="1:3" ht="13.5">
      <c r="A26" s="155"/>
      <c r="B26" s="263"/>
      <c r="C26" s="263"/>
    </row>
    <row r="29" ht="13.5">
      <c r="A29" t="s">
        <v>1039</v>
      </c>
    </row>
    <row r="30" ht="13.5">
      <c r="A30" s="37" t="str">
        <f>HYPERLINK("http://spreadsheets.google.com/pub?key=paYlYgScRBAIiRDHsagr7aQ")</f>
        <v>http://spreadsheets.google.com/pub?key=paYlYgScRBAIiRDHsagr7aQ</v>
      </c>
    </row>
  </sheetData>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sheetPr codeName="Sheet7"/>
  <dimension ref="A1:H39"/>
  <sheetViews>
    <sheetView workbookViewId="0" topLeftCell="A1">
      <selection activeCell="D39" sqref="D39"/>
    </sheetView>
  </sheetViews>
  <sheetFormatPr defaultColWidth="9.00390625" defaultRowHeight="13.5"/>
  <cols>
    <col min="2" max="3" width="15.00390625" style="3" bestFit="1" customWidth="1"/>
    <col min="4" max="4" width="9.00390625" style="51" customWidth="1"/>
    <col min="5" max="5" width="15.75390625" style="96" customWidth="1"/>
    <col min="6" max="6" width="9.00390625" style="51" customWidth="1"/>
    <col min="7" max="7" width="9.125" style="51" bestFit="1" customWidth="1"/>
    <col min="8" max="8" width="12.50390625" style="51" bestFit="1" customWidth="1"/>
  </cols>
  <sheetData>
    <row r="1" spans="2:8" ht="13.5">
      <c r="B1" s="3" t="s">
        <v>1068</v>
      </c>
      <c r="C1" s="3" t="s">
        <v>1070</v>
      </c>
      <c r="D1" s="51" t="s">
        <v>1072</v>
      </c>
      <c r="E1" s="96" t="s">
        <v>1074</v>
      </c>
      <c r="F1" s="96" t="s">
        <v>1076</v>
      </c>
      <c r="G1" s="96" t="s">
        <v>1078</v>
      </c>
      <c r="H1" s="96" t="s">
        <v>1080</v>
      </c>
    </row>
    <row r="2" spans="1:8" ht="14.25">
      <c r="A2">
        <v>3</v>
      </c>
      <c r="B2" s="3">
        <v>40018</v>
      </c>
      <c r="D2" s="95" t="s">
        <v>1021</v>
      </c>
      <c r="E2" s="96" t="s">
        <v>1231</v>
      </c>
      <c r="F2" s="95" t="s">
        <v>1232</v>
      </c>
      <c r="G2" s="183">
        <v>40245</v>
      </c>
      <c r="H2" s="97"/>
    </row>
    <row r="3" spans="1:8" ht="14.25">
      <c r="A3">
        <v>2</v>
      </c>
      <c r="B3" s="3">
        <v>40241</v>
      </c>
      <c r="D3" s="95" t="s">
        <v>1021</v>
      </c>
      <c r="E3" s="96" t="s">
        <v>1805</v>
      </c>
      <c r="F3" s="95" t="s">
        <v>2060</v>
      </c>
      <c r="G3" s="95">
        <v>12.37</v>
      </c>
      <c r="H3" s="97"/>
    </row>
    <row r="4" spans="1:8" ht="14.25">
      <c r="A4">
        <v>2</v>
      </c>
      <c r="B4" s="3">
        <v>40242</v>
      </c>
      <c r="D4" s="95" t="s">
        <v>1021</v>
      </c>
      <c r="E4" s="96" t="s">
        <v>1290</v>
      </c>
      <c r="F4" s="95" t="s">
        <v>1043</v>
      </c>
      <c r="G4" s="95">
        <v>27501</v>
      </c>
      <c r="H4" s="97">
        <v>29290.86</v>
      </c>
    </row>
    <row r="5" spans="1:8" ht="14.25">
      <c r="A5">
        <v>2</v>
      </c>
      <c r="B5" s="3">
        <v>40242</v>
      </c>
      <c r="D5" s="95" t="s">
        <v>1021</v>
      </c>
      <c r="E5" s="96" t="s">
        <v>1036</v>
      </c>
      <c r="F5" s="95" t="s">
        <v>1043</v>
      </c>
      <c r="G5" s="95">
        <v>30565</v>
      </c>
      <c r="H5" s="97">
        <v>296489.73</v>
      </c>
    </row>
    <row r="6" spans="1:8" ht="14.25">
      <c r="A6">
        <v>2</v>
      </c>
      <c r="B6" s="3">
        <v>40242</v>
      </c>
      <c r="D6" s="95" t="s">
        <v>1021</v>
      </c>
      <c r="E6" s="96" t="s">
        <v>1037</v>
      </c>
      <c r="F6" s="95" t="s">
        <v>1043</v>
      </c>
      <c r="G6" s="95">
        <v>14381</v>
      </c>
      <c r="H6" s="97">
        <v>130807.67</v>
      </c>
    </row>
    <row r="7" spans="1:8" ht="14.25">
      <c r="A7">
        <v>2</v>
      </c>
      <c r="B7" s="3">
        <v>40242</v>
      </c>
      <c r="D7" s="95" t="s">
        <v>1021</v>
      </c>
      <c r="E7" s="96" t="s">
        <v>1046</v>
      </c>
      <c r="F7" s="95" t="s">
        <v>1043</v>
      </c>
      <c r="G7" s="95">
        <v>31609</v>
      </c>
      <c r="H7" s="97">
        <v>3369428.12</v>
      </c>
    </row>
    <row r="8" spans="1:8" ht="14.25">
      <c r="A8">
        <v>2</v>
      </c>
      <c r="B8" s="3">
        <v>40242</v>
      </c>
      <c r="D8" s="95" t="s">
        <v>1021</v>
      </c>
      <c r="E8" s="96" t="s">
        <v>34</v>
      </c>
      <c r="F8" s="95" t="s">
        <v>1043</v>
      </c>
      <c r="G8" s="95">
        <v>9548</v>
      </c>
      <c r="H8" s="97">
        <v>9801.33</v>
      </c>
    </row>
    <row r="9" spans="1:8" ht="14.25">
      <c r="A9">
        <v>2</v>
      </c>
      <c r="B9" s="3">
        <v>40242</v>
      </c>
      <c r="D9" s="95" t="s">
        <v>1021</v>
      </c>
      <c r="E9" s="96" t="s">
        <v>1938</v>
      </c>
      <c r="F9" s="95" t="s">
        <v>1043</v>
      </c>
      <c r="G9" s="95">
        <v>3090</v>
      </c>
      <c r="H9" s="97">
        <v>3244.82</v>
      </c>
    </row>
    <row r="10" spans="1:8" ht="14.25">
      <c r="A10">
        <v>2</v>
      </c>
      <c r="B10" s="3">
        <v>40240</v>
      </c>
      <c r="D10" s="95" t="s">
        <v>1021</v>
      </c>
      <c r="E10" s="96" t="s">
        <v>1908</v>
      </c>
      <c r="F10" s="95" t="s">
        <v>1043</v>
      </c>
      <c r="G10" s="95">
        <v>3824.38</v>
      </c>
      <c r="H10" s="97">
        <v>-0.0355</v>
      </c>
    </row>
    <row r="11" spans="1:8" ht="13.5">
      <c r="A11">
        <v>2</v>
      </c>
      <c r="B11" s="3">
        <v>40241</v>
      </c>
      <c r="D11" s="95" t="s">
        <v>1021</v>
      </c>
      <c r="E11" s="96" t="s">
        <v>1584</v>
      </c>
      <c r="F11" s="95" t="s">
        <v>1043</v>
      </c>
      <c r="G11" s="95">
        <v>10138</v>
      </c>
      <c r="H11" s="95">
        <v>-0.1968</v>
      </c>
    </row>
    <row r="12" spans="1:8" ht="13.5">
      <c r="A12">
        <v>2</v>
      </c>
      <c r="B12" s="3">
        <v>40242</v>
      </c>
      <c r="D12" s="95" t="s">
        <v>1021</v>
      </c>
      <c r="E12" s="96" t="s">
        <v>1337</v>
      </c>
      <c r="F12" s="95" t="s">
        <v>1043</v>
      </c>
      <c r="G12" s="95">
        <v>6042</v>
      </c>
      <c r="H12" s="95">
        <v>-0.156</v>
      </c>
    </row>
    <row r="13" spans="1:8" ht="13.5">
      <c r="A13">
        <v>2</v>
      </c>
      <c r="B13" s="3">
        <v>40242</v>
      </c>
      <c r="D13" s="95" t="s">
        <v>1021</v>
      </c>
      <c r="E13" s="96" t="s">
        <v>663</v>
      </c>
      <c r="F13" s="95" t="s">
        <v>1043</v>
      </c>
      <c r="G13" s="95">
        <v>9037</v>
      </c>
      <c r="H13" s="95">
        <v>-0.0032</v>
      </c>
    </row>
    <row r="14" spans="1:7" ht="13.5">
      <c r="A14">
        <v>1</v>
      </c>
      <c r="B14" s="3">
        <v>40242</v>
      </c>
      <c r="C14" s="3">
        <v>40244</v>
      </c>
      <c r="D14" s="95" t="s">
        <v>1021</v>
      </c>
      <c r="E14" s="96" t="s">
        <v>2032</v>
      </c>
      <c r="F14" s="95" t="s">
        <v>1575</v>
      </c>
      <c r="G14" s="95">
        <v>0.8</v>
      </c>
    </row>
    <row r="15" spans="1:8" ht="13.5">
      <c r="A15">
        <v>1</v>
      </c>
      <c r="B15" s="3">
        <v>40245</v>
      </c>
      <c r="C15" s="3">
        <v>40245</v>
      </c>
      <c r="D15" s="95" t="s">
        <v>1021</v>
      </c>
      <c r="E15" s="96" t="s">
        <v>2032</v>
      </c>
      <c r="F15" s="95" t="s">
        <v>1575</v>
      </c>
      <c r="G15" s="95">
        <v>0.6</v>
      </c>
      <c r="H15" s="61"/>
    </row>
    <row r="16" spans="1:7" ht="13.5">
      <c r="A16">
        <v>1</v>
      </c>
      <c r="B16" s="3">
        <v>40246</v>
      </c>
      <c r="C16" s="3">
        <v>40246</v>
      </c>
      <c r="D16" s="95" t="s">
        <v>1021</v>
      </c>
      <c r="E16" s="96" t="s">
        <v>2032</v>
      </c>
      <c r="F16" s="95" t="s">
        <v>1575</v>
      </c>
      <c r="G16" s="95">
        <v>0.4</v>
      </c>
    </row>
    <row r="17" spans="1:7" ht="13.5">
      <c r="A17">
        <v>1</v>
      </c>
      <c r="B17" s="3">
        <v>40247</v>
      </c>
      <c r="C17" s="3">
        <v>40247</v>
      </c>
      <c r="D17" s="95" t="s">
        <v>1021</v>
      </c>
      <c r="E17" s="96" t="s">
        <v>2032</v>
      </c>
      <c r="F17" s="95" t="s">
        <v>1575</v>
      </c>
      <c r="G17" s="95">
        <v>0.2</v>
      </c>
    </row>
    <row r="18" spans="1:7" ht="13.5">
      <c r="A18">
        <v>1</v>
      </c>
      <c r="B18" s="3">
        <v>40248</v>
      </c>
      <c r="C18" s="3">
        <v>40294</v>
      </c>
      <c r="D18" s="95" t="s">
        <v>1021</v>
      </c>
      <c r="E18" s="96" t="s">
        <v>2032</v>
      </c>
      <c r="F18" s="95" t="s">
        <v>1575</v>
      </c>
      <c r="G18" s="95">
        <v>0</v>
      </c>
    </row>
    <row r="19" spans="1:7" ht="13.5">
      <c r="A19">
        <v>1</v>
      </c>
      <c r="B19" s="3">
        <v>40295</v>
      </c>
      <c r="C19" s="3">
        <v>40310</v>
      </c>
      <c r="D19" s="95" t="s">
        <v>1021</v>
      </c>
      <c r="E19" s="96" t="s">
        <v>2032</v>
      </c>
      <c r="F19" s="95" t="s">
        <v>1575</v>
      </c>
      <c r="G19" s="95">
        <v>1</v>
      </c>
    </row>
    <row r="20" spans="1:7" ht="13.5">
      <c r="A20">
        <v>1</v>
      </c>
      <c r="B20" s="3">
        <v>40241</v>
      </c>
      <c r="C20" s="3">
        <v>40245</v>
      </c>
      <c r="D20" s="95" t="s">
        <v>1021</v>
      </c>
      <c r="E20" s="96" t="s">
        <v>1005</v>
      </c>
      <c r="F20" s="95" t="s">
        <v>1032</v>
      </c>
      <c r="G20" s="95">
        <v>9.56</v>
      </c>
    </row>
    <row r="21" spans="1:8" ht="14.25">
      <c r="A21">
        <v>1</v>
      </c>
      <c r="B21" s="3">
        <v>40245</v>
      </c>
      <c r="C21" s="3">
        <v>40247</v>
      </c>
      <c r="D21" s="95" t="s">
        <v>1021</v>
      </c>
      <c r="E21" s="96" t="s">
        <v>2069</v>
      </c>
      <c r="F21" s="95" t="s">
        <v>1032</v>
      </c>
      <c r="G21" s="95">
        <v>203</v>
      </c>
      <c r="H21" s="97"/>
    </row>
    <row r="22" spans="4:8" ht="14.25">
      <c r="D22" s="95"/>
      <c r="F22" s="95"/>
      <c r="G22" s="95"/>
      <c r="H22" s="97"/>
    </row>
    <row r="23" spans="4:8" ht="13.5">
      <c r="D23" s="95"/>
      <c r="F23" s="95"/>
      <c r="G23" s="95"/>
      <c r="H23" s="95"/>
    </row>
    <row r="24" spans="4:7" ht="13.5">
      <c r="D24" s="95"/>
      <c r="F24" s="95"/>
      <c r="G24" s="95"/>
    </row>
    <row r="25" spans="4:7" ht="13.5">
      <c r="D25" s="95"/>
      <c r="F25" s="95"/>
      <c r="G25" s="95"/>
    </row>
    <row r="26" spans="4:7" ht="13.5">
      <c r="D26" s="95"/>
      <c r="F26" s="95"/>
      <c r="G26" s="95"/>
    </row>
    <row r="27" spans="4:7" ht="13.5">
      <c r="D27" s="95"/>
      <c r="F27" s="95"/>
      <c r="G27" s="95"/>
    </row>
    <row r="28" spans="4:7" ht="13.5">
      <c r="D28" s="95"/>
      <c r="F28" s="95"/>
      <c r="G28" s="95"/>
    </row>
    <row r="29" spans="4:7" ht="13.5">
      <c r="D29" s="95"/>
      <c r="F29" s="95"/>
      <c r="G29" s="95"/>
    </row>
    <row r="30" spans="4:7" ht="13.5">
      <c r="D30" s="95"/>
      <c r="F30" s="95"/>
      <c r="G30" s="95"/>
    </row>
    <row r="31" spans="4:7" ht="13.5">
      <c r="D31" s="95"/>
      <c r="F31" s="95"/>
      <c r="G31" s="95"/>
    </row>
    <row r="32" ht="13.5">
      <c r="G32" s="95"/>
    </row>
    <row r="33" ht="13.5">
      <c r="G33" s="95"/>
    </row>
    <row r="34" ht="13.5">
      <c r="G34" s="95"/>
    </row>
    <row r="35" ht="13.5">
      <c r="G35" s="95"/>
    </row>
    <row r="36" ht="13.5">
      <c r="G36" s="95"/>
    </row>
    <row r="37" ht="13.5">
      <c r="G37" s="95"/>
    </row>
    <row r="39" ht="13.5">
      <c r="G39" s="3"/>
    </row>
  </sheetData>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sheetPr codeName="Sheet5"/>
  <dimension ref="A1:B11"/>
  <sheetViews>
    <sheetView workbookViewId="0" topLeftCell="A69">
      <selection activeCell="F73" sqref="F73"/>
    </sheetView>
  </sheetViews>
  <sheetFormatPr defaultColWidth="9.00390625" defaultRowHeight="13.5"/>
  <cols>
    <col min="1" max="16384" width="9.00390625" style="79" customWidth="1"/>
  </cols>
  <sheetData>
    <row r="1" spans="1:2" ht="13.5">
      <c r="A1" s="79" t="s">
        <v>904</v>
      </c>
      <c r="B1" s="79">
        <v>1.3598</v>
      </c>
    </row>
    <row r="2" spans="1:2" ht="13.5">
      <c r="A2" s="79" t="s">
        <v>905</v>
      </c>
      <c r="B2" s="79" t="s">
        <v>914</v>
      </c>
    </row>
    <row r="3" spans="1:2" ht="13.5">
      <c r="A3" s="79" t="s">
        <v>906</v>
      </c>
      <c r="B3" s="79" t="s">
        <v>915</v>
      </c>
    </row>
    <row r="4" spans="1:2" ht="13.5">
      <c r="A4" s="79" t="s">
        <v>907</v>
      </c>
      <c r="B4" s="79">
        <v>1.3737</v>
      </c>
    </row>
    <row r="5" spans="1:2" ht="13.5">
      <c r="A5" s="79" t="s">
        <v>908</v>
      </c>
      <c r="B5" s="79">
        <v>1.3735</v>
      </c>
    </row>
    <row r="6" spans="1:2" ht="13.5">
      <c r="A6" s="79" t="s">
        <v>909</v>
      </c>
      <c r="B6" s="79" t="s">
        <v>916</v>
      </c>
    </row>
    <row r="7" spans="1:2" ht="13.5">
      <c r="A7" s="79" t="s">
        <v>910</v>
      </c>
      <c r="B7" s="79" t="s">
        <v>917</v>
      </c>
    </row>
    <row r="8" spans="1:2" ht="13.5">
      <c r="A8" s="79" t="s">
        <v>911</v>
      </c>
      <c r="B8" s="79">
        <v>1.3597</v>
      </c>
    </row>
    <row r="9" spans="1:2" ht="13.5">
      <c r="A9" s="79" t="s">
        <v>912</v>
      </c>
      <c r="B9" s="79">
        <v>1.3598</v>
      </c>
    </row>
    <row r="11" ht="13.5">
      <c r="A11" s="79" t="s">
        <v>913</v>
      </c>
    </row>
  </sheetData>
  <printOptions/>
  <pageMargins left="0.75" right="0.75" top="1" bottom="1"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10"/>
  <dimension ref="A1:L39"/>
  <sheetViews>
    <sheetView workbookViewId="0" topLeftCell="A15">
      <selection activeCell="A21" sqref="A21"/>
    </sheetView>
  </sheetViews>
  <sheetFormatPr defaultColWidth="9.00390625" defaultRowHeight="13.5"/>
  <cols>
    <col min="3" max="4" width="9.125" style="0" bestFit="1" customWidth="1"/>
    <col min="5" max="5" width="16.50390625" style="0" customWidth="1"/>
    <col min="6" max="6" width="11.625" style="0" bestFit="1" customWidth="1"/>
    <col min="11" max="12" width="16.625" style="0" bestFit="1" customWidth="1"/>
  </cols>
  <sheetData>
    <row r="1" ht="13.5">
      <c r="A1" s="71" t="s">
        <v>1915</v>
      </c>
    </row>
    <row r="2" spans="1:7" ht="13.5">
      <c r="A2" s="9" t="s">
        <v>660</v>
      </c>
      <c r="B2" s="10" t="s">
        <v>384</v>
      </c>
      <c r="C2" s="55" t="s">
        <v>385</v>
      </c>
      <c r="D2" s="55" t="s">
        <v>386</v>
      </c>
      <c r="E2" s="55" t="s">
        <v>387</v>
      </c>
      <c r="F2" s="55" t="s">
        <v>1635</v>
      </c>
      <c r="G2" s="56" t="s">
        <v>661</v>
      </c>
    </row>
    <row r="3" spans="1:12" ht="13.5">
      <c r="A3" t="s">
        <v>1641</v>
      </c>
      <c r="B3" s="51" t="s">
        <v>925</v>
      </c>
      <c r="C3" s="98">
        <v>510</v>
      </c>
      <c r="D3" s="51">
        <v>511</v>
      </c>
      <c r="E3" s="44">
        <v>40255.645833333336</v>
      </c>
      <c r="F3" s="141">
        <v>1401481403</v>
      </c>
      <c r="G3" s="51" t="s">
        <v>926</v>
      </c>
      <c r="H3" s="46"/>
      <c r="I3">
        <v>61000</v>
      </c>
      <c r="K3" s="4">
        <f>C3*$I3</f>
        <v>31110000</v>
      </c>
      <c r="L3" s="4">
        <f>D3*$I3</f>
        <v>31171000</v>
      </c>
    </row>
    <row r="4" spans="1:12" ht="13.5">
      <c r="A4" t="s">
        <v>1642</v>
      </c>
      <c r="B4" s="51" t="s">
        <v>925</v>
      </c>
      <c r="C4" s="98">
        <v>488</v>
      </c>
      <c r="D4" s="51">
        <v>489</v>
      </c>
      <c r="E4" s="44">
        <v>40255.645833333336</v>
      </c>
      <c r="F4" s="141">
        <v>1402616332</v>
      </c>
      <c r="G4" s="51" t="s">
        <v>927</v>
      </c>
      <c r="H4" s="46"/>
      <c r="I4">
        <v>61000</v>
      </c>
      <c r="K4" s="4">
        <f aca="true" t="shared" si="0" ref="K4:K36">C4*$I4</f>
        <v>29768000</v>
      </c>
      <c r="L4" s="4">
        <f aca="true" t="shared" si="1" ref="L4:L36">D4*$I4</f>
        <v>29829000</v>
      </c>
    </row>
    <row r="5" spans="1:12" ht="13.5">
      <c r="A5" t="s">
        <v>1643</v>
      </c>
      <c r="B5" s="51" t="s">
        <v>925</v>
      </c>
      <c r="C5" s="98">
        <v>197</v>
      </c>
      <c r="D5" s="51">
        <v>199</v>
      </c>
      <c r="E5" s="44">
        <v>40255.645833333336</v>
      </c>
      <c r="F5" s="141">
        <v>1497112926</v>
      </c>
      <c r="G5" s="51" t="s">
        <v>928</v>
      </c>
      <c r="H5" s="46"/>
      <c r="I5">
        <v>64000</v>
      </c>
      <c r="K5" s="4">
        <f t="shared" si="0"/>
        <v>12608000</v>
      </c>
      <c r="L5" s="4">
        <f t="shared" si="1"/>
        <v>12736000</v>
      </c>
    </row>
    <row r="6" spans="1:12" ht="13.5">
      <c r="A6" t="s">
        <v>1650</v>
      </c>
      <c r="B6" s="51" t="s">
        <v>925</v>
      </c>
      <c r="C6" s="98">
        <v>814</v>
      </c>
      <c r="D6" s="51">
        <v>827</v>
      </c>
      <c r="E6" s="44">
        <v>40255.645833333336</v>
      </c>
      <c r="F6" s="141">
        <v>403092837</v>
      </c>
      <c r="G6" s="51" t="s">
        <v>929</v>
      </c>
      <c r="H6" s="46"/>
      <c r="I6">
        <v>18000</v>
      </c>
      <c r="K6" s="4">
        <f t="shared" si="0"/>
        <v>14652000</v>
      </c>
      <c r="L6" s="4">
        <f t="shared" si="1"/>
        <v>14886000</v>
      </c>
    </row>
    <row r="7" spans="1:12" ht="13.5">
      <c r="A7" t="s">
        <v>1651</v>
      </c>
      <c r="B7" s="51" t="s">
        <v>925</v>
      </c>
      <c r="C7" s="98">
        <v>435</v>
      </c>
      <c r="D7" s="51">
        <v>441</v>
      </c>
      <c r="E7" s="44">
        <v>40255.645833333336</v>
      </c>
      <c r="F7" s="141">
        <v>1506288107</v>
      </c>
      <c r="G7" s="51" t="s">
        <v>930</v>
      </c>
      <c r="H7" s="46"/>
      <c r="I7">
        <v>65000</v>
      </c>
      <c r="K7" s="4">
        <f t="shared" si="0"/>
        <v>28275000</v>
      </c>
      <c r="L7" s="4">
        <f t="shared" si="1"/>
        <v>28665000</v>
      </c>
    </row>
    <row r="8" spans="1:12" ht="13.5">
      <c r="A8" t="s">
        <v>1652</v>
      </c>
      <c r="B8" s="51" t="s">
        <v>925</v>
      </c>
      <c r="C8" s="98">
        <v>748</v>
      </c>
      <c r="D8" s="51">
        <v>743</v>
      </c>
      <c r="E8" s="44">
        <v>40255.645833333336</v>
      </c>
      <c r="F8" s="141">
        <v>565182000</v>
      </c>
      <c r="G8" s="51" t="s">
        <v>931</v>
      </c>
      <c r="H8" s="46"/>
      <c r="I8">
        <v>16000</v>
      </c>
      <c r="K8" s="4">
        <f t="shared" si="0"/>
        <v>11968000</v>
      </c>
      <c r="L8" s="4">
        <f t="shared" si="1"/>
        <v>11888000</v>
      </c>
    </row>
    <row r="9" spans="1:12" ht="13.5">
      <c r="A9" t="s">
        <v>1653</v>
      </c>
      <c r="B9" s="51" t="s">
        <v>925</v>
      </c>
      <c r="C9" s="98">
        <v>6910</v>
      </c>
      <c r="D9" s="51">
        <v>6890</v>
      </c>
      <c r="E9" s="44">
        <v>40255.645833333336</v>
      </c>
      <c r="F9" s="141">
        <v>40000000</v>
      </c>
      <c r="G9" s="51" t="s">
        <v>932</v>
      </c>
      <c r="H9" s="46"/>
      <c r="I9">
        <v>1200</v>
      </c>
      <c r="K9" s="4">
        <f t="shared" si="0"/>
        <v>8292000</v>
      </c>
      <c r="L9" s="4">
        <f t="shared" si="1"/>
        <v>8268000</v>
      </c>
    </row>
    <row r="10" spans="1:12" ht="13.5">
      <c r="A10" t="s">
        <v>1654</v>
      </c>
      <c r="B10" s="51" t="s">
        <v>925</v>
      </c>
      <c r="C10" s="98">
        <v>123</v>
      </c>
      <c r="D10" s="51">
        <v>127</v>
      </c>
      <c r="E10" s="44">
        <v>40255.645833333336</v>
      </c>
      <c r="F10" s="141">
        <v>950300586</v>
      </c>
      <c r="G10" s="51" t="s">
        <v>933</v>
      </c>
      <c r="H10" s="46"/>
      <c r="I10">
        <v>41000</v>
      </c>
      <c r="K10" s="4">
        <f t="shared" si="0"/>
        <v>5043000</v>
      </c>
      <c r="L10" s="4">
        <f t="shared" si="1"/>
        <v>5207000</v>
      </c>
    </row>
    <row r="11" spans="1:12" ht="13.5">
      <c r="A11" t="s">
        <v>1655</v>
      </c>
      <c r="B11" s="51" t="s">
        <v>925</v>
      </c>
      <c r="C11" s="98">
        <v>1887</v>
      </c>
      <c r="D11" s="51">
        <v>1890</v>
      </c>
      <c r="E11" s="44">
        <v>40255.645833333336</v>
      </c>
      <c r="F11" s="141">
        <v>337560196</v>
      </c>
      <c r="G11" s="51" t="s">
        <v>934</v>
      </c>
      <c r="H11" s="46"/>
      <c r="I11">
        <v>15000</v>
      </c>
      <c r="K11" s="4">
        <f>C11*$I11</f>
        <v>28305000</v>
      </c>
      <c r="L11" s="4">
        <f>D11*$I11</f>
        <v>28350000</v>
      </c>
    </row>
    <row r="12" spans="1:12" ht="13.5">
      <c r="A12" t="s">
        <v>1656</v>
      </c>
      <c r="B12" s="51" t="s">
        <v>925</v>
      </c>
      <c r="C12" s="98">
        <v>1053</v>
      </c>
      <c r="D12" s="51">
        <v>1033</v>
      </c>
      <c r="E12" s="44">
        <v>40255.645833333336</v>
      </c>
      <c r="F12" s="141">
        <v>371463036</v>
      </c>
      <c r="G12" s="51" t="s">
        <v>935</v>
      </c>
      <c r="H12" s="46"/>
      <c r="I12">
        <v>16000</v>
      </c>
      <c r="K12" s="4">
        <f t="shared" si="0"/>
        <v>16848000</v>
      </c>
      <c r="L12" s="4">
        <f t="shared" si="1"/>
        <v>16528000</v>
      </c>
    </row>
    <row r="13" spans="1:12" ht="13.5">
      <c r="A13" t="s">
        <v>1657</v>
      </c>
      <c r="B13" s="51" t="s">
        <v>925</v>
      </c>
      <c r="C13" s="98">
        <v>542</v>
      </c>
      <c r="D13" s="51">
        <v>542</v>
      </c>
      <c r="E13" s="44">
        <v>40255.645833333336</v>
      </c>
      <c r="F13" s="141">
        <v>309946031</v>
      </c>
      <c r="G13" s="51" t="s">
        <v>936</v>
      </c>
      <c r="H13" s="46"/>
      <c r="I13">
        <v>18000</v>
      </c>
      <c r="K13" s="4">
        <f t="shared" si="0"/>
        <v>9756000</v>
      </c>
      <c r="L13" s="4">
        <f t="shared" si="1"/>
        <v>9756000</v>
      </c>
    </row>
    <row r="14" spans="1:12" ht="13.5">
      <c r="A14" t="s">
        <v>1658</v>
      </c>
      <c r="B14" s="51" t="s">
        <v>925</v>
      </c>
      <c r="C14" s="98">
        <v>483</v>
      </c>
      <c r="D14" s="51">
        <v>491</v>
      </c>
      <c r="E14" s="44">
        <v>40255.645833333336</v>
      </c>
      <c r="F14" s="141">
        <v>706669179</v>
      </c>
      <c r="G14" s="51" t="s">
        <v>937</v>
      </c>
      <c r="H14" s="46"/>
      <c r="I14">
        <v>30000</v>
      </c>
      <c r="K14" s="4">
        <f t="shared" si="0"/>
        <v>14490000</v>
      </c>
      <c r="L14" s="4">
        <f t="shared" si="1"/>
        <v>14730000</v>
      </c>
    </row>
    <row r="15" spans="1:12" ht="13.5">
      <c r="A15" t="s">
        <v>1667</v>
      </c>
      <c r="B15" s="51" t="s">
        <v>925</v>
      </c>
      <c r="C15" s="98">
        <v>1108</v>
      </c>
      <c r="D15" s="51">
        <v>1127</v>
      </c>
      <c r="E15" s="44">
        <v>40255.645833333336</v>
      </c>
      <c r="F15" s="141">
        <v>793940571</v>
      </c>
      <c r="G15" s="51" t="s">
        <v>938</v>
      </c>
      <c r="H15" s="46"/>
      <c r="I15">
        <v>34200</v>
      </c>
      <c r="K15" s="4">
        <f t="shared" si="0"/>
        <v>37893600</v>
      </c>
      <c r="L15" s="4">
        <f t="shared" si="1"/>
        <v>38543400</v>
      </c>
    </row>
    <row r="16" spans="1:12" ht="13.5">
      <c r="A16" t="s">
        <v>1668</v>
      </c>
      <c r="B16" s="51" t="s">
        <v>925</v>
      </c>
      <c r="C16" s="98">
        <v>463</v>
      </c>
      <c r="D16" s="51">
        <v>474</v>
      </c>
      <c r="E16" s="44">
        <v>40255.645833333336</v>
      </c>
      <c r="F16" s="141">
        <v>422725658</v>
      </c>
      <c r="G16" s="51" t="s">
        <v>939</v>
      </c>
      <c r="H16" s="46"/>
      <c r="I16">
        <v>18000</v>
      </c>
      <c r="K16" s="4">
        <f t="shared" si="0"/>
        <v>8334000</v>
      </c>
      <c r="L16" s="4">
        <f t="shared" si="1"/>
        <v>8532000</v>
      </c>
    </row>
    <row r="17" spans="1:12" ht="13.5">
      <c r="A17" t="s">
        <v>1669</v>
      </c>
      <c r="B17" s="51" t="s">
        <v>925</v>
      </c>
      <c r="C17" s="98">
        <v>2470</v>
      </c>
      <c r="D17" s="51">
        <v>2470</v>
      </c>
      <c r="E17" s="44">
        <v>40255.645833333336</v>
      </c>
      <c r="F17" s="141">
        <v>132800256</v>
      </c>
      <c r="G17" s="51" t="s">
        <v>940</v>
      </c>
      <c r="H17" s="46"/>
      <c r="I17">
        <v>5800</v>
      </c>
      <c r="K17" s="4">
        <f t="shared" si="0"/>
        <v>14326000</v>
      </c>
      <c r="L17" s="4">
        <f t="shared" si="1"/>
        <v>14326000</v>
      </c>
    </row>
    <row r="18" spans="1:12" ht="13.5">
      <c r="A18" t="s">
        <v>1670</v>
      </c>
      <c r="B18" s="51" t="s">
        <v>925</v>
      </c>
      <c r="C18" s="98">
        <v>327</v>
      </c>
      <c r="D18" s="51">
        <v>331</v>
      </c>
      <c r="E18" s="44">
        <v>40255.645833333336</v>
      </c>
      <c r="F18" s="141">
        <v>4518126056</v>
      </c>
      <c r="G18" s="51" t="s">
        <v>941</v>
      </c>
      <c r="H18" s="46"/>
      <c r="I18">
        <v>189000</v>
      </c>
      <c r="K18" s="4">
        <f t="shared" si="0"/>
        <v>61803000</v>
      </c>
      <c r="L18" s="4">
        <f t="shared" si="1"/>
        <v>62559000</v>
      </c>
    </row>
    <row r="19" spans="1:12" ht="13.5">
      <c r="A19" t="s">
        <v>1671</v>
      </c>
      <c r="B19" s="51" t="s">
        <v>925</v>
      </c>
      <c r="C19" s="98">
        <v>447</v>
      </c>
      <c r="D19" s="51">
        <v>444</v>
      </c>
      <c r="E19" s="44">
        <v>40255.645833333336</v>
      </c>
      <c r="F19" s="141">
        <v>4237602026</v>
      </c>
      <c r="G19" s="51" t="s">
        <v>942</v>
      </c>
      <c r="H19" s="46"/>
      <c r="I19">
        <v>184000</v>
      </c>
      <c r="K19" s="4">
        <f t="shared" si="0"/>
        <v>82248000</v>
      </c>
      <c r="L19" s="4">
        <f t="shared" si="1"/>
        <v>81696000</v>
      </c>
    </row>
    <row r="20" spans="1:12" ht="13.5">
      <c r="A20" t="s">
        <v>1637</v>
      </c>
      <c r="B20" s="51" t="s">
        <v>925</v>
      </c>
      <c r="C20" s="98">
        <v>799</v>
      </c>
      <c r="D20" s="51">
        <v>815</v>
      </c>
      <c r="E20" s="44">
        <v>40255.645833333336</v>
      </c>
      <c r="F20" s="141">
        <v>2147201551</v>
      </c>
      <c r="G20" s="51" t="s">
        <v>943</v>
      </c>
      <c r="H20" s="46"/>
      <c r="I20">
        <v>93000</v>
      </c>
      <c r="K20" s="4">
        <f t="shared" si="0"/>
        <v>74307000</v>
      </c>
      <c r="L20" s="4">
        <f t="shared" si="1"/>
        <v>75795000</v>
      </c>
    </row>
    <row r="21" spans="1:12" ht="13.5">
      <c r="A21" t="s">
        <v>1672</v>
      </c>
      <c r="B21" s="51" t="s">
        <v>944</v>
      </c>
      <c r="C21" s="98">
        <v>2000</v>
      </c>
      <c r="D21" s="51">
        <v>2002</v>
      </c>
      <c r="E21" s="44">
        <v>40255.645833333336</v>
      </c>
      <c r="F21" s="141">
        <v>239121372</v>
      </c>
      <c r="G21" s="51" t="s">
        <v>945</v>
      </c>
      <c r="H21" s="46"/>
      <c r="I21">
        <v>13800</v>
      </c>
      <c r="K21" s="4">
        <f t="shared" si="0"/>
        <v>27600000</v>
      </c>
      <c r="L21" s="4">
        <f t="shared" si="1"/>
        <v>27627600</v>
      </c>
    </row>
    <row r="22" spans="1:12" ht="13.5">
      <c r="A22" t="s">
        <v>1673</v>
      </c>
      <c r="B22" s="51" t="s">
        <v>925</v>
      </c>
      <c r="C22" s="98">
        <v>824</v>
      </c>
      <c r="D22" s="51">
        <v>832</v>
      </c>
      <c r="E22" s="44">
        <v>40255.645833333336</v>
      </c>
      <c r="F22" s="141">
        <v>62448052</v>
      </c>
      <c r="G22" s="51" t="s">
        <v>946</v>
      </c>
      <c r="H22" s="46"/>
      <c r="I22">
        <v>2700</v>
      </c>
      <c r="K22" s="4">
        <f t="shared" si="0"/>
        <v>2224800</v>
      </c>
      <c r="L22" s="4">
        <f t="shared" si="1"/>
        <v>2246400</v>
      </c>
    </row>
    <row r="23" spans="1:12" ht="13.5">
      <c r="A23" t="s">
        <v>1674</v>
      </c>
      <c r="B23" s="51" t="s">
        <v>925</v>
      </c>
      <c r="C23" s="98">
        <v>1339</v>
      </c>
      <c r="D23" s="51">
        <v>1343</v>
      </c>
      <c r="E23" s="44">
        <v>40255.645833333336</v>
      </c>
      <c r="F23" s="141">
        <v>2453053497</v>
      </c>
      <c r="G23" s="51" t="s">
        <v>947</v>
      </c>
      <c r="H23" s="46"/>
      <c r="I23">
        <v>110500</v>
      </c>
      <c r="K23" s="4">
        <f t="shared" si="0"/>
        <v>147959500</v>
      </c>
      <c r="L23" s="4">
        <f t="shared" si="1"/>
        <v>148401500</v>
      </c>
    </row>
    <row r="24" spans="1:12" ht="13.5">
      <c r="A24" t="s">
        <v>1675</v>
      </c>
      <c r="B24" s="51" t="s">
        <v>925</v>
      </c>
      <c r="C24" s="98">
        <v>1073</v>
      </c>
      <c r="D24" s="51">
        <v>1091</v>
      </c>
      <c r="E24" s="44">
        <v>40255.645833333336</v>
      </c>
      <c r="F24" s="141">
        <v>1110699887</v>
      </c>
      <c r="G24" s="51" t="s">
        <v>948</v>
      </c>
      <c r="H24" s="46"/>
      <c r="I24">
        <v>48000</v>
      </c>
      <c r="K24" s="4">
        <f t="shared" si="0"/>
        <v>51504000</v>
      </c>
      <c r="L24" s="4">
        <f t="shared" si="1"/>
        <v>52368000</v>
      </c>
    </row>
    <row r="25" spans="1:12" ht="13.5">
      <c r="A25" t="s">
        <v>1676</v>
      </c>
      <c r="B25" s="51" t="s">
        <v>925</v>
      </c>
      <c r="C25" s="98">
        <v>3430</v>
      </c>
      <c r="D25" s="51">
        <v>3425</v>
      </c>
      <c r="E25" s="44">
        <v>40255.645833333336</v>
      </c>
      <c r="F25" s="141">
        <v>1004535764</v>
      </c>
      <c r="G25" s="51" t="s">
        <v>949</v>
      </c>
      <c r="H25" s="46"/>
      <c r="I25">
        <v>55000</v>
      </c>
      <c r="K25" s="4">
        <f t="shared" si="0"/>
        <v>188650000</v>
      </c>
      <c r="L25" s="4">
        <f t="shared" si="1"/>
        <v>188375000</v>
      </c>
    </row>
    <row r="26" spans="1:12" ht="13.5">
      <c r="A26" t="s">
        <v>1677</v>
      </c>
      <c r="B26" s="51" t="s">
        <v>925</v>
      </c>
      <c r="C26" s="98">
        <v>1701</v>
      </c>
      <c r="D26" s="51">
        <v>1715</v>
      </c>
      <c r="E26" s="44">
        <v>40255.645833333336</v>
      </c>
      <c r="F26" s="141">
        <v>182240000</v>
      </c>
      <c r="G26" s="51" t="s">
        <v>950</v>
      </c>
      <c r="H26" s="46"/>
      <c r="I26">
        <v>8100</v>
      </c>
      <c r="K26" s="4">
        <f t="shared" si="0"/>
        <v>13778100</v>
      </c>
      <c r="L26" s="4">
        <f t="shared" si="1"/>
        <v>13891500</v>
      </c>
    </row>
    <row r="27" spans="1:12" ht="13.5">
      <c r="A27" t="s">
        <v>1678</v>
      </c>
      <c r="B27" s="51" t="s">
        <v>925</v>
      </c>
      <c r="C27" s="98">
        <v>8560</v>
      </c>
      <c r="D27" s="51">
        <v>8730</v>
      </c>
      <c r="E27" s="44">
        <v>40255.645833333336</v>
      </c>
      <c r="F27" s="141">
        <v>191309290</v>
      </c>
      <c r="G27" s="51" t="s">
        <v>951</v>
      </c>
      <c r="H27" s="46"/>
      <c r="I27">
        <v>11000</v>
      </c>
      <c r="K27" s="4">
        <f t="shared" si="0"/>
        <v>94160000</v>
      </c>
      <c r="L27" s="4">
        <f t="shared" si="1"/>
        <v>96030000</v>
      </c>
    </row>
    <row r="28" spans="1:12" ht="13.5">
      <c r="A28" t="s">
        <v>1679</v>
      </c>
      <c r="B28" s="51" t="s">
        <v>925</v>
      </c>
      <c r="C28" s="98">
        <v>3570</v>
      </c>
      <c r="D28" s="51">
        <v>3565</v>
      </c>
      <c r="E28" s="44">
        <v>40255.645833333336</v>
      </c>
      <c r="F28" s="141">
        <v>173758428</v>
      </c>
      <c r="G28" s="51" t="s">
        <v>952</v>
      </c>
      <c r="H28" s="46"/>
      <c r="I28">
        <v>7500</v>
      </c>
      <c r="K28" s="4">
        <f t="shared" si="0"/>
        <v>26775000</v>
      </c>
      <c r="L28" s="4">
        <f t="shared" si="1"/>
        <v>26737500</v>
      </c>
    </row>
    <row r="29" spans="1:12" ht="13.5">
      <c r="A29" t="s">
        <v>1690</v>
      </c>
      <c r="B29" s="51" t="s">
        <v>925</v>
      </c>
      <c r="C29" s="98">
        <v>1127</v>
      </c>
      <c r="D29" s="51">
        <v>1143</v>
      </c>
      <c r="E29" s="44">
        <v>40255.645833333336</v>
      </c>
      <c r="F29" s="141">
        <v>751074788</v>
      </c>
      <c r="G29" s="51" t="s">
        <v>953</v>
      </c>
      <c r="H29" s="46"/>
      <c r="I29">
        <v>13000</v>
      </c>
      <c r="K29" s="4">
        <f t="shared" si="0"/>
        <v>14651000</v>
      </c>
      <c r="L29" s="4">
        <f t="shared" si="1"/>
        <v>14859000</v>
      </c>
    </row>
    <row r="30" spans="1:12" ht="13.5">
      <c r="A30" t="s">
        <v>1638</v>
      </c>
      <c r="B30" s="51" t="s">
        <v>925</v>
      </c>
      <c r="C30" s="98">
        <v>351</v>
      </c>
      <c r="D30" s="51">
        <v>357</v>
      </c>
      <c r="E30" s="44">
        <v>40255.645833333336</v>
      </c>
      <c r="F30" s="141">
        <v>3373647813</v>
      </c>
      <c r="G30" s="51" t="s">
        <v>954</v>
      </c>
      <c r="H30" s="46"/>
      <c r="I30">
        <v>195000</v>
      </c>
      <c r="K30" s="4">
        <f t="shared" si="0"/>
        <v>68445000</v>
      </c>
      <c r="L30" s="4">
        <f t="shared" si="1"/>
        <v>69615000</v>
      </c>
    </row>
    <row r="31" spans="1:12" ht="13.5">
      <c r="A31" t="s">
        <v>1691</v>
      </c>
      <c r="B31" s="51" t="s">
        <v>925</v>
      </c>
      <c r="C31" s="98">
        <v>239</v>
      </c>
      <c r="D31" s="51">
        <v>246</v>
      </c>
      <c r="E31" s="44">
        <v>40255.645833333336</v>
      </c>
      <c r="F31" s="141">
        <v>1669629122</v>
      </c>
      <c r="G31" s="51" t="s">
        <v>955</v>
      </c>
      <c r="H31" s="46"/>
      <c r="I31">
        <v>72000</v>
      </c>
      <c r="K31" s="4">
        <f t="shared" si="0"/>
        <v>17208000</v>
      </c>
      <c r="L31" s="4">
        <f t="shared" si="1"/>
        <v>17712000</v>
      </c>
    </row>
    <row r="32" spans="1:12" ht="13.5">
      <c r="A32" t="s">
        <v>1692</v>
      </c>
      <c r="B32" s="51" t="s">
        <v>925</v>
      </c>
      <c r="C32" s="98">
        <v>3530</v>
      </c>
      <c r="D32" s="51">
        <v>3580</v>
      </c>
      <c r="E32" s="44">
        <v>40255.645833333336</v>
      </c>
      <c r="F32" s="141">
        <v>3447997492</v>
      </c>
      <c r="G32" s="51" t="s">
        <v>956</v>
      </c>
      <c r="H32" s="46"/>
      <c r="I32">
        <v>37700</v>
      </c>
      <c r="K32" s="4">
        <f t="shared" si="0"/>
        <v>133081000</v>
      </c>
      <c r="L32" s="4">
        <f t="shared" si="1"/>
        <v>134966000</v>
      </c>
    </row>
    <row r="33" spans="1:12" ht="13.5">
      <c r="A33" t="s">
        <v>1636</v>
      </c>
      <c r="B33" s="51" t="s">
        <v>925</v>
      </c>
      <c r="C33" s="98">
        <v>123</v>
      </c>
      <c r="D33" s="51">
        <v>123</v>
      </c>
      <c r="E33" s="44">
        <v>40255.645833333336</v>
      </c>
      <c r="F33" s="141">
        <v>5537956840</v>
      </c>
      <c r="G33" s="51" t="s">
        <v>957</v>
      </c>
      <c r="H33" s="46"/>
      <c r="I33">
        <v>238000</v>
      </c>
      <c r="K33" s="4">
        <f t="shared" si="0"/>
        <v>29274000</v>
      </c>
      <c r="L33" s="4">
        <f t="shared" si="1"/>
        <v>29274000</v>
      </c>
    </row>
    <row r="34" spans="1:12" ht="13.5">
      <c r="A34" t="s">
        <v>1693</v>
      </c>
      <c r="B34" s="51" t="s">
        <v>925</v>
      </c>
      <c r="C34" s="98">
        <v>3200</v>
      </c>
      <c r="D34" s="51">
        <v>3250</v>
      </c>
      <c r="E34" s="44">
        <v>40255.645833333336</v>
      </c>
      <c r="F34" s="141">
        <v>1834828430</v>
      </c>
      <c r="G34" s="51" t="s">
        <v>958</v>
      </c>
      <c r="H34" s="46"/>
      <c r="I34">
        <v>47000</v>
      </c>
      <c r="K34" s="4">
        <f t="shared" si="0"/>
        <v>150400000</v>
      </c>
      <c r="L34" s="4">
        <f t="shared" si="1"/>
        <v>152750000</v>
      </c>
    </row>
    <row r="35" spans="1:12" ht="13.5">
      <c r="A35" t="s">
        <v>1694</v>
      </c>
      <c r="B35" s="51" t="s">
        <v>925</v>
      </c>
      <c r="C35" s="98">
        <v>1229</v>
      </c>
      <c r="D35" s="51">
        <v>1230</v>
      </c>
      <c r="E35" s="44">
        <v>40255.645833333336</v>
      </c>
      <c r="F35" s="141">
        <v>700480693</v>
      </c>
      <c r="G35" s="51" t="s">
        <v>959</v>
      </c>
      <c r="H35" s="46"/>
      <c r="I35">
        <v>30000</v>
      </c>
      <c r="K35" s="4">
        <f t="shared" si="0"/>
        <v>36870000</v>
      </c>
      <c r="L35" s="4">
        <f t="shared" si="1"/>
        <v>36900000</v>
      </c>
    </row>
    <row r="36" spans="1:12" ht="13.5">
      <c r="A36" t="s">
        <v>1695</v>
      </c>
      <c r="B36" s="51" t="s">
        <v>925</v>
      </c>
      <c r="C36" s="98">
        <v>3050</v>
      </c>
      <c r="D36" s="51">
        <v>3045</v>
      </c>
      <c r="E36" s="44">
        <v>40255.645833333336</v>
      </c>
      <c r="F36" s="141">
        <v>166569600</v>
      </c>
      <c r="G36" s="51" t="s">
        <v>960</v>
      </c>
      <c r="H36" s="46"/>
      <c r="I36">
        <v>9600</v>
      </c>
      <c r="K36" s="4">
        <f t="shared" si="0"/>
        <v>29280000</v>
      </c>
      <c r="L36" s="4">
        <f t="shared" si="1"/>
        <v>29232000</v>
      </c>
    </row>
    <row r="37" spans="11:12" ht="13.5">
      <c r="K37" s="4">
        <f>SUM(K3:K36)+Portofolio_JGC35_CASH</f>
        <v>1532030384</v>
      </c>
      <c r="L37" s="4">
        <f>SUM(L3:L36)+Portofolio_JGC35_CASH</f>
        <v>1544594284</v>
      </c>
    </row>
    <row r="38" spans="8:9" ht="13.5">
      <c r="H38" t="s">
        <v>1696</v>
      </c>
      <c r="I38">
        <v>10143384</v>
      </c>
    </row>
    <row r="39" ht="13.5">
      <c r="K39" s="142">
        <f>(K37-L37)/L37</f>
        <v>-0.008134110122085626</v>
      </c>
    </row>
  </sheetData>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sheetPr codeName="Sheet12"/>
  <dimension ref="A1:L31"/>
  <sheetViews>
    <sheetView workbookViewId="0" topLeftCell="A1">
      <selection activeCell="A1" sqref="A1"/>
    </sheetView>
  </sheetViews>
  <sheetFormatPr defaultColWidth="9.00390625" defaultRowHeight="13.5"/>
  <cols>
    <col min="3" max="4" width="9.125" style="0" bestFit="1" customWidth="1"/>
    <col min="5" max="5" width="16.125" style="0" bestFit="1" customWidth="1"/>
    <col min="6" max="6" width="16.125" style="0" customWidth="1"/>
    <col min="7" max="7" width="30.00390625" style="0" bestFit="1" customWidth="1"/>
    <col min="8" max="8" width="9.25390625" style="0" customWidth="1"/>
    <col min="10" max="10" width="14.00390625" style="0" bestFit="1" customWidth="1"/>
    <col min="11" max="11" width="14.00390625" style="0" customWidth="1"/>
  </cols>
  <sheetData>
    <row r="1" ht="13.5">
      <c r="A1" s="71">
        <v>40126</v>
      </c>
    </row>
    <row r="2" spans="1:10" ht="13.5">
      <c r="A2" s="9" t="s">
        <v>660</v>
      </c>
      <c r="B2" s="10" t="s">
        <v>384</v>
      </c>
      <c r="C2" s="55" t="s">
        <v>385</v>
      </c>
      <c r="D2" s="55" t="s">
        <v>386</v>
      </c>
      <c r="E2" s="55" t="s">
        <v>387</v>
      </c>
      <c r="F2" s="55" t="s">
        <v>1635</v>
      </c>
      <c r="G2" s="56" t="s">
        <v>661</v>
      </c>
      <c r="H2" s="139"/>
      <c r="I2" t="s">
        <v>243</v>
      </c>
      <c r="J2" t="s">
        <v>1640</v>
      </c>
    </row>
    <row r="3" spans="1:12" ht="14.25">
      <c r="A3" s="11">
        <v>1871</v>
      </c>
      <c r="B3" s="57" t="s">
        <v>1490</v>
      </c>
      <c r="C3" s="110">
        <v>314</v>
      </c>
      <c r="D3" s="57">
        <v>312</v>
      </c>
      <c r="E3" s="58">
        <v>40255.645833333336</v>
      </c>
      <c r="F3" s="137">
        <v>32537429</v>
      </c>
      <c r="G3" s="134" t="s">
        <v>961</v>
      </c>
      <c r="H3" s="62"/>
      <c r="I3" s="221">
        <v>900</v>
      </c>
      <c r="J3" s="4">
        <f>C3*$I3</f>
        <v>282600</v>
      </c>
      <c r="K3" s="4"/>
      <c r="L3" s="2"/>
    </row>
    <row r="4" spans="1:12" ht="14.25">
      <c r="A4" s="11">
        <v>2503</v>
      </c>
      <c r="B4" s="57" t="s">
        <v>1490</v>
      </c>
      <c r="C4" s="110">
        <v>1303</v>
      </c>
      <c r="D4" s="57">
        <v>1301</v>
      </c>
      <c r="E4" s="58">
        <v>40255.645833333336</v>
      </c>
      <c r="F4" s="137">
        <v>984508387</v>
      </c>
      <c r="G4" s="134" t="s">
        <v>962</v>
      </c>
      <c r="H4" s="62"/>
      <c r="I4" s="221">
        <v>65000</v>
      </c>
      <c r="J4" s="4">
        <f aca="true" t="shared" si="0" ref="J4:J28">C4*$I4</f>
        <v>84695000</v>
      </c>
      <c r="K4" s="4"/>
      <c r="L4" s="2"/>
    </row>
    <row r="5" spans="1:12" ht="14.25">
      <c r="A5" s="11">
        <v>3404</v>
      </c>
      <c r="B5" s="57" t="s">
        <v>1490</v>
      </c>
      <c r="C5" s="110">
        <v>377</v>
      </c>
      <c r="D5" s="57">
        <v>376</v>
      </c>
      <c r="E5" s="58">
        <v>40255.645833333336</v>
      </c>
      <c r="F5" s="137">
        <v>599997820</v>
      </c>
      <c r="G5" s="134" t="s">
        <v>963</v>
      </c>
      <c r="H5" s="62"/>
      <c r="I5" s="221">
        <v>38000</v>
      </c>
      <c r="J5" s="4">
        <f t="shared" si="0"/>
        <v>14326000</v>
      </c>
      <c r="K5" s="4"/>
      <c r="L5" s="2"/>
    </row>
    <row r="6" spans="1:12" ht="14.25">
      <c r="A6" s="11">
        <v>3864</v>
      </c>
      <c r="B6" s="57" t="s">
        <v>1490</v>
      </c>
      <c r="C6" s="110">
        <v>113</v>
      </c>
      <c r="D6" s="57">
        <v>112</v>
      </c>
      <c r="E6" s="58">
        <v>40255.645833333336</v>
      </c>
      <c r="F6" s="137">
        <v>342584332</v>
      </c>
      <c r="G6" s="134" t="s">
        <v>964</v>
      </c>
      <c r="H6" s="62"/>
      <c r="I6" s="221">
        <v>21000</v>
      </c>
      <c r="J6" s="4">
        <f t="shared" si="0"/>
        <v>2373000</v>
      </c>
      <c r="K6" s="4"/>
      <c r="L6" s="2"/>
    </row>
    <row r="7" spans="1:12" ht="14.25">
      <c r="A7" s="11">
        <v>4182</v>
      </c>
      <c r="B7" s="57" t="s">
        <v>1490</v>
      </c>
      <c r="C7" s="110">
        <v>524</v>
      </c>
      <c r="D7" s="57">
        <v>530</v>
      </c>
      <c r="E7" s="58">
        <v>40255.645833333336</v>
      </c>
      <c r="F7" s="137">
        <v>483478398</v>
      </c>
      <c r="G7" s="134" t="s">
        <v>965</v>
      </c>
      <c r="H7" s="62"/>
      <c r="I7" s="221">
        <v>28000</v>
      </c>
      <c r="J7" s="4">
        <f t="shared" si="0"/>
        <v>14672000</v>
      </c>
      <c r="K7" s="4"/>
      <c r="L7" s="2"/>
    </row>
    <row r="8" spans="1:12" ht="14.25">
      <c r="A8" s="11">
        <v>4188</v>
      </c>
      <c r="B8" s="57" t="s">
        <v>1490</v>
      </c>
      <c r="C8" s="110">
        <v>435</v>
      </c>
      <c r="D8" s="57">
        <v>441</v>
      </c>
      <c r="E8" s="58">
        <v>40255.645833333336</v>
      </c>
      <c r="F8" s="137">
        <v>1506288107</v>
      </c>
      <c r="G8" s="134" t="s">
        <v>966</v>
      </c>
      <c r="H8" s="62"/>
      <c r="I8" s="221">
        <v>85500</v>
      </c>
      <c r="J8" s="4">
        <f t="shared" si="0"/>
        <v>37192500</v>
      </c>
      <c r="K8" s="4"/>
      <c r="L8" s="2"/>
    </row>
    <row r="9" spans="1:12" ht="14.25">
      <c r="A9" s="11">
        <v>4611</v>
      </c>
      <c r="B9" s="57" t="s">
        <v>1490</v>
      </c>
      <c r="C9" s="110">
        <v>100</v>
      </c>
      <c r="D9" s="57">
        <v>99</v>
      </c>
      <c r="E9" s="58">
        <v>40255.645833333336</v>
      </c>
      <c r="F9" s="137">
        <v>148553393</v>
      </c>
      <c r="G9" s="134" t="s">
        <v>967</v>
      </c>
      <c r="H9" s="62"/>
      <c r="I9" s="221">
        <v>8000</v>
      </c>
      <c r="J9" s="4">
        <f t="shared" si="0"/>
        <v>800000</v>
      </c>
      <c r="K9" s="4"/>
      <c r="L9" s="2"/>
    </row>
    <row r="10" spans="1:12" ht="14.25">
      <c r="A10" s="11">
        <v>5001</v>
      </c>
      <c r="B10" s="57" t="s">
        <v>1490</v>
      </c>
      <c r="C10" s="110">
        <v>481</v>
      </c>
      <c r="D10" s="57">
        <v>488</v>
      </c>
      <c r="E10" s="58">
        <v>40255.645833333336</v>
      </c>
      <c r="F10" s="137">
        <v>1464508343</v>
      </c>
      <c r="G10" s="134" t="s">
        <v>968</v>
      </c>
      <c r="H10" s="62"/>
      <c r="I10" s="221">
        <v>95000</v>
      </c>
      <c r="J10" s="4">
        <f t="shared" si="0"/>
        <v>45695000</v>
      </c>
      <c r="K10" s="4"/>
      <c r="L10" s="2"/>
    </row>
    <row r="11" spans="1:12" ht="14.25">
      <c r="A11" s="11">
        <v>5201</v>
      </c>
      <c r="B11" s="57" t="s">
        <v>1490</v>
      </c>
      <c r="C11" s="110">
        <v>996</v>
      </c>
      <c r="D11" s="57">
        <v>1019</v>
      </c>
      <c r="E11" s="58">
        <v>40255.645833333336</v>
      </c>
      <c r="F11" s="137">
        <v>1186705905</v>
      </c>
      <c r="G11" s="134" t="s">
        <v>969</v>
      </c>
      <c r="H11" s="62"/>
      <c r="I11" s="221">
        <v>74000</v>
      </c>
      <c r="J11" s="4">
        <f t="shared" si="0"/>
        <v>73704000</v>
      </c>
      <c r="K11" s="4"/>
      <c r="L11" s="2"/>
    </row>
    <row r="12" spans="1:12" ht="14.25">
      <c r="A12" s="11">
        <v>5632</v>
      </c>
      <c r="B12" s="57" t="s">
        <v>1490</v>
      </c>
      <c r="C12" s="110">
        <v>189</v>
      </c>
      <c r="D12" s="57">
        <v>186</v>
      </c>
      <c r="E12" s="58">
        <v>40255.645833333336</v>
      </c>
      <c r="F12" s="137">
        <v>156556683</v>
      </c>
      <c r="G12" s="134" t="s">
        <v>970</v>
      </c>
      <c r="H12" s="62"/>
      <c r="I12" s="221">
        <v>9000</v>
      </c>
      <c r="J12" s="4">
        <f t="shared" si="0"/>
        <v>1701000</v>
      </c>
      <c r="K12" s="4"/>
      <c r="L12" s="2"/>
    </row>
    <row r="13" spans="1:12" ht="14.25">
      <c r="A13" s="11">
        <v>5711</v>
      </c>
      <c r="B13" s="57" t="s">
        <v>1490</v>
      </c>
      <c r="C13" s="110">
        <v>251</v>
      </c>
      <c r="D13" s="57">
        <v>252</v>
      </c>
      <c r="E13" s="58">
        <v>40255.645833333336</v>
      </c>
      <c r="F13" s="137">
        <v>1314895351</v>
      </c>
      <c r="G13" s="134" t="s">
        <v>971</v>
      </c>
      <c r="H13" s="62"/>
      <c r="I13" s="221">
        <v>86000</v>
      </c>
      <c r="J13" s="4">
        <f t="shared" si="0"/>
        <v>21586000</v>
      </c>
      <c r="K13" s="4"/>
      <c r="L13" s="2"/>
    </row>
    <row r="14" spans="1:12" ht="14.25">
      <c r="A14" s="11">
        <v>5804</v>
      </c>
      <c r="B14" s="57"/>
      <c r="C14" s="57"/>
      <c r="D14" s="57"/>
      <c r="E14" s="57"/>
      <c r="F14" s="57"/>
      <c r="G14" s="134"/>
      <c r="H14" s="62"/>
      <c r="I14" s="221">
        <v>9000</v>
      </c>
      <c r="J14" s="4">
        <f t="shared" si="0"/>
        <v>0</v>
      </c>
      <c r="K14" s="4"/>
      <c r="L14" s="2"/>
    </row>
    <row r="15" spans="1:12" ht="14.25">
      <c r="A15" s="11">
        <v>6331</v>
      </c>
      <c r="B15" s="57" t="s">
        <v>1490</v>
      </c>
      <c r="C15" s="110">
        <v>246</v>
      </c>
      <c r="D15" s="57">
        <v>248</v>
      </c>
      <c r="E15" s="58">
        <v>40255.645833333336</v>
      </c>
      <c r="F15" s="137">
        <v>79139500</v>
      </c>
      <c r="G15" s="134" t="s">
        <v>972</v>
      </c>
      <c r="H15" s="62"/>
      <c r="I15" s="221">
        <v>4000</v>
      </c>
      <c r="J15" s="4">
        <f t="shared" si="0"/>
        <v>984000</v>
      </c>
      <c r="K15" s="4"/>
      <c r="L15" s="2"/>
    </row>
    <row r="16" spans="1:12" ht="14.25">
      <c r="A16" s="11">
        <v>6443</v>
      </c>
      <c r="B16" s="57" t="s">
        <v>1491</v>
      </c>
      <c r="C16" s="110">
        <v>144</v>
      </c>
      <c r="D16" s="57">
        <v>143</v>
      </c>
      <c r="E16" s="58">
        <v>40255.645833333336</v>
      </c>
      <c r="F16" s="137">
        <v>22296204</v>
      </c>
      <c r="G16" s="134" t="s">
        <v>973</v>
      </c>
      <c r="H16" s="62"/>
      <c r="I16" s="221">
        <v>1000</v>
      </c>
      <c r="J16" s="4">
        <f t="shared" si="0"/>
        <v>144000</v>
      </c>
      <c r="K16" s="4"/>
      <c r="L16" s="2"/>
    </row>
    <row r="17" spans="1:12" ht="14.25">
      <c r="A17" s="11">
        <v>6503</v>
      </c>
      <c r="B17" s="57" t="s">
        <v>1490</v>
      </c>
      <c r="C17" s="110">
        <v>799</v>
      </c>
      <c r="D17" s="57">
        <v>815</v>
      </c>
      <c r="E17" s="58">
        <v>40255.645833333336</v>
      </c>
      <c r="F17" s="137">
        <v>2147201551</v>
      </c>
      <c r="G17" s="134" t="s">
        <v>974</v>
      </c>
      <c r="H17" s="62"/>
      <c r="I17" s="221">
        <v>144000</v>
      </c>
      <c r="J17" s="4">
        <f t="shared" si="0"/>
        <v>115056000</v>
      </c>
      <c r="K17" s="4"/>
      <c r="L17" s="2"/>
    </row>
    <row r="18" spans="1:12" ht="14.25">
      <c r="A18" s="11">
        <v>7011</v>
      </c>
      <c r="B18" s="57" t="s">
        <v>1490</v>
      </c>
      <c r="C18" s="110">
        <v>351</v>
      </c>
      <c r="D18" s="57">
        <v>357</v>
      </c>
      <c r="E18" s="58">
        <v>40255.645833333336</v>
      </c>
      <c r="F18" s="137">
        <v>3373647813</v>
      </c>
      <c r="G18" s="134" t="s">
        <v>975</v>
      </c>
      <c r="H18" s="62"/>
      <c r="I18" s="221">
        <v>247000</v>
      </c>
      <c r="J18" s="4">
        <f t="shared" si="0"/>
        <v>86697000</v>
      </c>
      <c r="K18" s="4"/>
      <c r="L18" s="2"/>
    </row>
    <row r="19" spans="1:12" ht="14.25">
      <c r="A19" s="11">
        <v>7211</v>
      </c>
      <c r="B19" s="57" t="s">
        <v>1490</v>
      </c>
      <c r="C19" s="110">
        <v>123</v>
      </c>
      <c r="D19" s="57">
        <v>123</v>
      </c>
      <c r="E19" s="58">
        <v>40255.645833333336</v>
      </c>
      <c r="F19" s="137">
        <v>5537956840</v>
      </c>
      <c r="G19" s="134" t="s">
        <v>976</v>
      </c>
      <c r="H19" s="62"/>
      <c r="I19" s="221">
        <v>277000</v>
      </c>
      <c r="J19" s="4">
        <f t="shared" si="0"/>
        <v>34071000</v>
      </c>
      <c r="K19" s="4"/>
      <c r="L19" s="2"/>
    </row>
    <row r="20" spans="1:12" ht="14.25">
      <c r="A20" s="11">
        <v>7451</v>
      </c>
      <c r="B20" s="57" t="s">
        <v>1490</v>
      </c>
      <c r="C20" s="110">
        <v>2121</v>
      </c>
      <c r="D20" s="57">
        <v>2122</v>
      </c>
      <c r="E20" s="58">
        <v>40255.645833333336</v>
      </c>
      <c r="F20" s="137">
        <v>43958650</v>
      </c>
      <c r="G20" s="134" t="s">
        <v>977</v>
      </c>
      <c r="H20" s="62"/>
      <c r="I20" s="221">
        <v>1200</v>
      </c>
      <c r="J20" s="4">
        <f t="shared" si="0"/>
        <v>2545200</v>
      </c>
      <c r="K20" s="4"/>
      <c r="L20" s="2"/>
    </row>
    <row r="21" spans="1:12" ht="14.25">
      <c r="A21" s="11">
        <v>7731</v>
      </c>
      <c r="B21" s="57" t="s">
        <v>1490</v>
      </c>
      <c r="C21" s="110">
        <v>2094</v>
      </c>
      <c r="D21" s="57">
        <v>2185</v>
      </c>
      <c r="E21" s="58">
        <v>40255.645833333336</v>
      </c>
      <c r="F21" s="137">
        <v>400878921</v>
      </c>
      <c r="G21" s="134" t="s">
        <v>978</v>
      </c>
      <c r="H21" s="62"/>
      <c r="I21" s="221">
        <v>26000</v>
      </c>
      <c r="J21" s="4">
        <f t="shared" si="0"/>
        <v>54444000</v>
      </c>
      <c r="K21" s="4"/>
      <c r="L21" s="2"/>
    </row>
    <row r="22" spans="1:12" ht="14.25">
      <c r="A22" s="11">
        <v>8058</v>
      </c>
      <c r="B22" s="57" t="s">
        <v>1490</v>
      </c>
      <c r="C22" s="110">
        <v>2342</v>
      </c>
      <c r="D22" s="57">
        <v>2347</v>
      </c>
      <c r="E22" s="58">
        <v>40255.645833333336</v>
      </c>
      <c r="F22" s="137">
        <v>1696445684</v>
      </c>
      <c r="G22" s="134" t="s">
        <v>979</v>
      </c>
      <c r="H22" s="62"/>
      <c r="I22" s="221">
        <v>43800</v>
      </c>
      <c r="J22" s="4">
        <f t="shared" si="0"/>
        <v>102579600</v>
      </c>
      <c r="K22" s="4"/>
      <c r="L22" s="2"/>
    </row>
    <row r="23" spans="1:12" ht="14.25">
      <c r="A23" s="11">
        <v>8306</v>
      </c>
      <c r="B23" s="57" t="s">
        <v>1490</v>
      </c>
      <c r="C23" s="110">
        <v>473</v>
      </c>
      <c r="D23" s="57">
        <v>476</v>
      </c>
      <c r="E23" s="58">
        <v>40255.645833333336</v>
      </c>
      <c r="F23" s="137">
        <v>14148414920</v>
      </c>
      <c r="G23" s="134" t="s">
        <v>980</v>
      </c>
      <c r="H23" s="62"/>
      <c r="I23" s="221">
        <v>245200</v>
      </c>
      <c r="J23" s="4">
        <f t="shared" si="0"/>
        <v>115979600</v>
      </c>
      <c r="K23" s="4"/>
      <c r="L23" s="2"/>
    </row>
    <row r="24" spans="1:12" ht="14.25">
      <c r="A24" s="11">
        <v>8593</v>
      </c>
      <c r="B24" s="57" t="s">
        <v>1490</v>
      </c>
      <c r="C24" s="110">
        <v>3270</v>
      </c>
      <c r="D24" s="57">
        <v>3335</v>
      </c>
      <c r="E24" s="58">
        <v>40255.645833333336</v>
      </c>
      <c r="F24" s="137">
        <v>89583416</v>
      </c>
      <c r="G24" s="134" t="s">
        <v>981</v>
      </c>
      <c r="H24" s="62"/>
      <c r="I24" s="221">
        <v>3590</v>
      </c>
      <c r="J24" s="4">
        <f t="shared" si="0"/>
        <v>11739300</v>
      </c>
      <c r="K24" s="4"/>
      <c r="L24" s="2"/>
    </row>
    <row r="25" spans="1:12" ht="14.25">
      <c r="A25" s="11">
        <v>8766</v>
      </c>
      <c r="B25" s="57" t="s">
        <v>1490</v>
      </c>
      <c r="C25" s="110">
        <v>2564</v>
      </c>
      <c r="D25" s="57">
        <v>2558</v>
      </c>
      <c r="E25" s="58">
        <v>40255.645833333336</v>
      </c>
      <c r="F25" s="137">
        <v>804524375</v>
      </c>
      <c r="G25" s="134" t="s">
        <v>982</v>
      </c>
      <c r="H25" s="62"/>
      <c r="I25" s="221">
        <v>36600</v>
      </c>
      <c r="J25" s="4">
        <f t="shared" si="0"/>
        <v>93842400</v>
      </c>
      <c r="K25" s="4"/>
      <c r="L25" s="2"/>
    </row>
    <row r="26" spans="1:12" ht="14.25">
      <c r="A26" s="11">
        <v>8802</v>
      </c>
      <c r="B26" s="57" t="s">
        <v>1490</v>
      </c>
      <c r="C26" s="110">
        <v>1476</v>
      </c>
      <c r="D26" s="57">
        <v>1534</v>
      </c>
      <c r="E26" s="58">
        <v>40255.645833333336</v>
      </c>
      <c r="F26" s="137">
        <v>1390397097</v>
      </c>
      <c r="G26" s="134" t="s">
        <v>983</v>
      </c>
      <c r="H26" s="62"/>
      <c r="I26" s="221">
        <v>67000</v>
      </c>
      <c r="J26" s="4">
        <f t="shared" si="0"/>
        <v>98892000</v>
      </c>
      <c r="K26" s="4"/>
      <c r="L26" s="2"/>
    </row>
    <row r="27" spans="1:12" ht="14.25">
      <c r="A27" s="11">
        <v>9101</v>
      </c>
      <c r="B27" s="57" t="s">
        <v>1490</v>
      </c>
      <c r="C27" s="110">
        <v>345</v>
      </c>
      <c r="D27" s="57">
        <v>349</v>
      </c>
      <c r="E27" s="58">
        <v>40255.645833333336</v>
      </c>
      <c r="F27" s="137">
        <v>1700550988</v>
      </c>
      <c r="G27" s="134" t="s">
        <v>984</v>
      </c>
      <c r="H27" s="62"/>
      <c r="I27" s="221">
        <v>110000</v>
      </c>
      <c r="J27" s="4">
        <f t="shared" si="0"/>
        <v>37950000</v>
      </c>
      <c r="K27" s="4"/>
      <c r="L27" s="2"/>
    </row>
    <row r="28" spans="1:12" ht="14.25">
      <c r="A28" s="13">
        <v>9301</v>
      </c>
      <c r="B28" s="60" t="s">
        <v>1490</v>
      </c>
      <c r="C28" s="133">
        <v>1130</v>
      </c>
      <c r="D28" s="60">
        <v>1140</v>
      </c>
      <c r="E28" s="135">
        <v>40255.645833333336</v>
      </c>
      <c r="F28" s="138">
        <v>175921478</v>
      </c>
      <c r="G28" s="136" t="s">
        <v>985</v>
      </c>
      <c r="H28" s="62"/>
      <c r="I28" s="221">
        <v>10000</v>
      </c>
      <c r="J28" s="4">
        <f t="shared" si="0"/>
        <v>11300000</v>
      </c>
      <c r="K28" s="4"/>
      <c r="L28" s="2"/>
    </row>
    <row r="29" spans="10:11" ht="13.5">
      <c r="J29" s="4">
        <f>SUM(J3:J28)</f>
        <v>1063251200</v>
      </c>
      <c r="K29" s="4"/>
    </row>
    <row r="31" ht="13.5">
      <c r="J31" s="140"/>
    </row>
  </sheetData>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sheetPr codeName="Sheet6"/>
  <dimension ref="A1:V402"/>
  <sheetViews>
    <sheetView workbookViewId="0" topLeftCell="A1">
      <selection activeCell="K19" sqref="K19"/>
    </sheetView>
  </sheetViews>
  <sheetFormatPr defaultColWidth="9.00390625" defaultRowHeight="13.5"/>
  <cols>
    <col min="2" max="2" width="9.25390625" style="0" bestFit="1" customWidth="1"/>
    <col min="14" max="15" width="11.00390625" style="46" customWidth="1"/>
    <col min="16" max="16" width="17.25390625" style="44" customWidth="1"/>
    <col min="17" max="17" width="14.75390625" style="47" customWidth="1"/>
    <col min="18" max="20" width="17.75390625" style="0" hidden="1" customWidth="1"/>
    <col min="21" max="21" width="0" style="0" hidden="1" customWidth="1"/>
  </cols>
  <sheetData>
    <row r="1" spans="1:9" ht="13.5">
      <c r="A1" t="s">
        <v>1963</v>
      </c>
      <c r="B1" s="54">
        <v>40161</v>
      </c>
      <c r="I1" t="s">
        <v>1906</v>
      </c>
    </row>
    <row r="2" spans="1:21" ht="16.5" thickBot="1">
      <c r="A2" s="48" t="s">
        <v>373</v>
      </c>
      <c r="B2" t="s">
        <v>374</v>
      </c>
      <c r="C2" t="s">
        <v>375</v>
      </c>
      <c r="D2" t="s">
        <v>376</v>
      </c>
      <c r="E2" t="s">
        <v>377</v>
      </c>
      <c r="F2" t="s">
        <v>378</v>
      </c>
      <c r="G2" t="s">
        <v>379</v>
      </c>
      <c r="H2" t="s">
        <v>380</v>
      </c>
      <c r="I2" t="s">
        <v>381</v>
      </c>
      <c r="J2" t="s">
        <v>382</v>
      </c>
      <c r="K2" t="s">
        <v>383</v>
      </c>
      <c r="L2" s="9"/>
      <c r="M2" s="10" t="s">
        <v>384</v>
      </c>
      <c r="N2" s="55" t="s">
        <v>385</v>
      </c>
      <c r="O2" s="55" t="s">
        <v>386</v>
      </c>
      <c r="P2" s="55" t="s">
        <v>387</v>
      </c>
      <c r="Q2" s="56" t="s">
        <v>389</v>
      </c>
      <c r="R2" t="s">
        <v>390</v>
      </c>
      <c r="S2" t="s">
        <v>395</v>
      </c>
      <c r="T2" t="s">
        <v>396</v>
      </c>
      <c r="U2" t="s">
        <v>397</v>
      </c>
    </row>
    <row r="3" spans="1:22" ht="15.75">
      <c r="A3" s="49">
        <v>1332</v>
      </c>
      <c r="B3" s="50" t="s">
        <v>400</v>
      </c>
      <c r="C3" s="50" t="s">
        <v>398</v>
      </c>
      <c r="D3" s="50" t="s">
        <v>399</v>
      </c>
      <c r="E3" s="50">
        <v>0</v>
      </c>
      <c r="F3" s="50">
        <v>0</v>
      </c>
      <c r="G3" s="50">
        <v>26.6815</v>
      </c>
      <c r="H3" s="50">
        <v>73.3185</v>
      </c>
      <c r="I3" s="50" t="s">
        <v>401</v>
      </c>
      <c r="J3" s="50">
        <v>25.6382</v>
      </c>
      <c r="K3" s="50">
        <v>1</v>
      </c>
      <c r="L3" s="11">
        <f aca="true" t="shared" si="0" ref="L3:L19">A3</f>
        <v>1332</v>
      </c>
      <c r="M3" s="57" t="s">
        <v>918</v>
      </c>
      <c r="N3" s="110">
        <v>267</v>
      </c>
      <c r="O3" s="57">
        <v>263</v>
      </c>
      <c r="P3" s="58">
        <v>40255.645833333336</v>
      </c>
      <c r="Q3" s="59">
        <v>277210277</v>
      </c>
      <c r="R3" s="4">
        <f aca="true" t="shared" si="1" ref="R3:S17">(E3+G3)*(100-$J3)*$N3*$Q3/10000</f>
        <v>14685229002.810188</v>
      </c>
      <c r="S3" s="4">
        <f t="shared" si="1"/>
        <v>40353764317.69348</v>
      </c>
      <c r="T3" s="4">
        <f aca="true" t="shared" si="2" ref="T3:U18">(E3+G3)*(100-$J3)*$O3*$Q3/10000</f>
        <v>14465225572.056475</v>
      </c>
      <c r="U3" s="4">
        <f t="shared" si="2"/>
        <v>39749213541.398445</v>
      </c>
      <c r="V3" s="4"/>
    </row>
    <row r="4" spans="1:22" ht="15.75">
      <c r="A4" s="52">
        <v>1334</v>
      </c>
      <c r="B4" s="12" t="s">
        <v>402</v>
      </c>
      <c r="C4" s="12" t="s">
        <v>398</v>
      </c>
      <c r="D4" s="12" t="s">
        <v>399</v>
      </c>
      <c r="E4" s="12">
        <v>0</v>
      </c>
      <c r="F4" s="12">
        <v>0</v>
      </c>
      <c r="G4" s="12">
        <v>74.9333</v>
      </c>
      <c r="H4" s="12">
        <v>25.0667</v>
      </c>
      <c r="I4" s="12" t="s">
        <v>401</v>
      </c>
      <c r="J4" s="12">
        <v>32.4681</v>
      </c>
      <c r="K4" s="12">
        <v>1</v>
      </c>
      <c r="L4" s="11">
        <f t="shared" si="0"/>
        <v>1334</v>
      </c>
      <c r="M4" s="57" t="s">
        <v>918</v>
      </c>
      <c r="N4" s="110">
        <v>132</v>
      </c>
      <c r="O4" s="57">
        <v>133</v>
      </c>
      <c r="P4" s="58">
        <v>40255.645833333336</v>
      </c>
      <c r="Q4" s="59">
        <v>508574884</v>
      </c>
      <c r="R4" s="4">
        <f t="shared" si="1"/>
        <v>33971339190.075455</v>
      </c>
      <c r="S4" s="4">
        <f t="shared" si="1"/>
        <v>11364098045.540026</v>
      </c>
      <c r="T4" s="4">
        <f t="shared" si="2"/>
        <v>34228697820.3033</v>
      </c>
      <c r="U4" s="4">
        <f t="shared" si="2"/>
        <v>11450189697.400179</v>
      </c>
      <c r="V4" s="4"/>
    </row>
    <row r="5" spans="1:22" ht="15.75">
      <c r="A5" s="52">
        <v>1377</v>
      </c>
      <c r="B5" s="12" t="s">
        <v>1136</v>
      </c>
      <c r="C5" s="12" t="s">
        <v>398</v>
      </c>
      <c r="D5" s="12" t="s">
        <v>399</v>
      </c>
      <c r="E5" s="12">
        <v>0</v>
      </c>
      <c r="F5" s="12">
        <v>0</v>
      </c>
      <c r="G5" s="12">
        <v>100</v>
      </c>
      <c r="H5" s="12">
        <v>0</v>
      </c>
      <c r="I5" s="12" t="s">
        <v>401</v>
      </c>
      <c r="J5" s="12">
        <v>39.5581</v>
      </c>
      <c r="K5" s="12">
        <v>1</v>
      </c>
      <c r="L5" s="11">
        <f t="shared" si="0"/>
        <v>1377</v>
      </c>
      <c r="M5" s="57" t="s">
        <v>918</v>
      </c>
      <c r="N5" s="110">
        <v>1244</v>
      </c>
      <c r="O5" s="57">
        <v>1247</v>
      </c>
      <c r="P5" s="58">
        <v>40255.645833333336</v>
      </c>
      <c r="Q5" s="59">
        <v>50910750</v>
      </c>
      <c r="R5" s="4">
        <f t="shared" si="1"/>
        <v>38279652207.687</v>
      </c>
      <c r="S5" s="4">
        <f t="shared" si="1"/>
        <v>0</v>
      </c>
      <c r="T5" s="4">
        <f t="shared" si="2"/>
        <v>38371966481.49975</v>
      </c>
      <c r="U5" s="4">
        <f t="shared" si="2"/>
        <v>0</v>
      </c>
      <c r="V5" s="4"/>
    </row>
    <row r="6" spans="1:22" ht="15.75">
      <c r="A6" s="52">
        <v>1379</v>
      </c>
      <c r="B6" s="12" t="s">
        <v>1137</v>
      </c>
      <c r="C6" s="12" t="s">
        <v>398</v>
      </c>
      <c r="D6" s="12" t="s">
        <v>399</v>
      </c>
      <c r="E6" s="12">
        <v>0</v>
      </c>
      <c r="F6" s="12">
        <v>0</v>
      </c>
      <c r="G6" s="12">
        <v>0</v>
      </c>
      <c r="H6" s="12">
        <v>100</v>
      </c>
      <c r="I6" s="12" t="s">
        <v>401</v>
      </c>
      <c r="J6" s="12">
        <v>41.8121</v>
      </c>
      <c r="K6" s="12">
        <v>1</v>
      </c>
      <c r="L6" s="11">
        <f t="shared" si="0"/>
        <v>1379</v>
      </c>
      <c r="M6" s="57" t="s">
        <v>918</v>
      </c>
      <c r="N6" s="110">
        <v>1912</v>
      </c>
      <c r="O6" s="57">
        <v>1894</v>
      </c>
      <c r="P6" s="58">
        <v>40255.645833333336</v>
      </c>
      <c r="Q6" s="59">
        <v>33359040</v>
      </c>
      <c r="R6" s="4">
        <f t="shared" si="1"/>
        <v>0</v>
      </c>
      <c r="S6" s="4">
        <f t="shared" si="1"/>
        <v>37113688286.737915</v>
      </c>
      <c r="T6" s="4">
        <f t="shared" si="2"/>
        <v>0</v>
      </c>
      <c r="U6" s="4">
        <f t="shared" si="2"/>
        <v>36764291639.687035</v>
      </c>
      <c r="V6" s="4"/>
    </row>
    <row r="7" spans="1:22" ht="15.75">
      <c r="A7" s="52">
        <v>1414</v>
      </c>
      <c r="B7" s="12" t="s">
        <v>1138</v>
      </c>
      <c r="C7" s="12" t="s">
        <v>398</v>
      </c>
      <c r="D7" s="12" t="s">
        <v>403</v>
      </c>
      <c r="E7" s="12">
        <v>0</v>
      </c>
      <c r="F7" s="12">
        <v>0</v>
      </c>
      <c r="G7" s="12">
        <v>77.2972</v>
      </c>
      <c r="H7" s="12">
        <v>22.7028</v>
      </c>
      <c r="I7" s="12" t="s">
        <v>401</v>
      </c>
      <c r="J7" s="12">
        <v>38.0797</v>
      </c>
      <c r="K7" s="12">
        <v>1</v>
      </c>
      <c r="L7" s="11">
        <f t="shared" si="0"/>
        <v>1414</v>
      </c>
      <c r="M7" s="57" t="s">
        <v>918</v>
      </c>
      <c r="N7" s="110">
        <v>1832</v>
      </c>
      <c r="O7" s="57">
        <v>1806</v>
      </c>
      <c r="P7" s="58">
        <v>40255.645833333336</v>
      </c>
      <c r="Q7" s="59">
        <v>29102590</v>
      </c>
      <c r="R7" s="4">
        <f t="shared" si="1"/>
        <v>25518428427.546696</v>
      </c>
      <c r="S7" s="4">
        <f t="shared" si="1"/>
        <v>7494964589.983945</v>
      </c>
      <c r="T7" s="4">
        <f t="shared" si="2"/>
        <v>25156267325.409023</v>
      </c>
      <c r="U7" s="4">
        <f t="shared" si="2"/>
        <v>7388595005.191597</v>
      </c>
      <c r="V7" s="4"/>
    </row>
    <row r="8" spans="1:22" ht="15.75">
      <c r="A8" s="52">
        <v>1515</v>
      </c>
      <c r="B8" s="12" t="s">
        <v>74</v>
      </c>
      <c r="C8" s="12" t="s">
        <v>398</v>
      </c>
      <c r="D8" s="12" t="s">
        <v>364</v>
      </c>
      <c r="E8" s="12">
        <v>0</v>
      </c>
      <c r="F8" s="12">
        <v>0</v>
      </c>
      <c r="G8" s="12">
        <v>100</v>
      </c>
      <c r="H8" s="12">
        <v>0</v>
      </c>
      <c r="I8" s="12" t="s">
        <v>401</v>
      </c>
      <c r="J8" s="12">
        <v>34.3975</v>
      </c>
      <c r="K8" s="12">
        <v>1</v>
      </c>
      <c r="L8" s="11">
        <f t="shared" si="0"/>
        <v>1515</v>
      </c>
      <c r="M8" s="57" t="s">
        <v>918</v>
      </c>
      <c r="N8" s="110">
        <v>411</v>
      </c>
      <c r="O8" s="57">
        <v>412</v>
      </c>
      <c r="P8" s="58">
        <v>40255.645833333336</v>
      </c>
      <c r="Q8" s="59">
        <v>83523195</v>
      </c>
      <c r="R8" s="4">
        <f t="shared" si="1"/>
        <v>22520047943.948624</v>
      </c>
      <c r="S8" s="4">
        <f t="shared" si="1"/>
        <v>0</v>
      </c>
      <c r="T8" s="4">
        <f t="shared" si="2"/>
        <v>22574841247.948498</v>
      </c>
      <c r="U8" s="4">
        <f t="shared" si="2"/>
        <v>0</v>
      </c>
      <c r="V8" s="4"/>
    </row>
    <row r="9" spans="1:22" ht="15.75">
      <c r="A9" s="52">
        <v>1808</v>
      </c>
      <c r="B9" s="12" t="s">
        <v>1140</v>
      </c>
      <c r="C9" s="12" t="s">
        <v>398</v>
      </c>
      <c r="D9" s="12" t="s">
        <v>403</v>
      </c>
      <c r="E9" s="12">
        <v>0</v>
      </c>
      <c r="F9" s="12">
        <v>0</v>
      </c>
      <c r="G9" s="12">
        <v>11.3533</v>
      </c>
      <c r="H9" s="12">
        <v>88.6467</v>
      </c>
      <c r="I9" s="12" t="s">
        <v>401</v>
      </c>
      <c r="J9" s="12">
        <v>13.2712</v>
      </c>
      <c r="K9" s="12">
        <v>1</v>
      </c>
      <c r="L9" s="11">
        <f t="shared" si="0"/>
        <v>1808</v>
      </c>
      <c r="M9" s="57" t="s">
        <v>918</v>
      </c>
      <c r="N9" s="110">
        <v>88</v>
      </c>
      <c r="O9" s="57">
        <v>91</v>
      </c>
      <c r="P9" s="58">
        <v>40255.645833333336</v>
      </c>
      <c r="Q9" s="59">
        <v>1503971989</v>
      </c>
      <c r="R9" s="4">
        <f t="shared" si="1"/>
        <v>13031903972.054356</v>
      </c>
      <c r="S9" s="4">
        <f t="shared" si="1"/>
        <v>101753259566.77887</v>
      </c>
      <c r="T9" s="4">
        <f t="shared" si="2"/>
        <v>13476173425.647118</v>
      </c>
      <c r="U9" s="4">
        <f t="shared" si="2"/>
        <v>105222120688.37361</v>
      </c>
      <c r="V9" s="4"/>
    </row>
    <row r="10" spans="1:22" ht="15.75">
      <c r="A10" s="52">
        <v>1820</v>
      </c>
      <c r="B10" s="12" t="s">
        <v>405</v>
      </c>
      <c r="C10" s="12" t="s">
        <v>398</v>
      </c>
      <c r="D10" s="12" t="s">
        <v>403</v>
      </c>
      <c r="E10" s="12">
        <v>0</v>
      </c>
      <c r="F10" s="12">
        <v>0</v>
      </c>
      <c r="G10" s="12">
        <v>100</v>
      </c>
      <c r="H10" s="12">
        <v>0</v>
      </c>
      <c r="I10" s="12" t="s">
        <v>401</v>
      </c>
      <c r="J10" s="12">
        <v>15.5272</v>
      </c>
      <c r="K10" s="12">
        <v>1</v>
      </c>
      <c r="L10" s="11">
        <f t="shared" si="0"/>
        <v>1820</v>
      </c>
      <c r="M10" s="57" t="s">
        <v>918</v>
      </c>
      <c r="N10" s="110">
        <v>121</v>
      </c>
      <c r="O10" s="57">
        <v>124</v>
      </c>
      <c r="P10" s="58">
        <v>40255.645833333336</v>
      </c>
      <c r="Q10" s="59">
        <v>277957513</v>
      </c>
      <c r="R10" s="4">
        <f t="shared" si="1"/>
        <v>28410617779.01715</v>
      </c>
      <c r="S10" s="4">
        <f t="shared" si="1"/>
        <v>0</v>
      </c>
      <c r="T10" s="4">
        <f t="shared" si="2"/>
        <v>29115013261.141537</v>
      </c>
      <c r="U10" s="4">
        <f t="shared" si="2"/>
        <v>0</v>
      </c>
      <c r="V10" s="4"/>
    </row>
    <row r="11" spans="1:22" ht="15.75">
      <c r="A11" s="52">
        <v>1824</v>
      </c>
      <c r="B11" s="12" t="s">
        <v>75</v>
      </c>
      <c r="C11" s="12" t="s">
        <v>398</v>
      </c>
      <c r="D11" s="12" t="s">
        <v>403</v>
      </c>
      <c r="E11" s="12">
        <v>0</v>
      </c>
      <c r="F11" s="12">
        <v>0</v>
      </c>
      <c r="G11" s="12">
        <v>100</v>
      </c>
      <c r="H11" s="12">
        <v>0</v>
      </c>
      <c r="I11" s="12" t="s">
        <v>401</v>
      </c>
      <c r="J11" s="12">
        <v>42.9705</v>
      </c>
      <c r="K11" s="12">
        <v>1</v>
      </c>
      <c r="L11" s="11">
        <f t="shared" si="0"/>
        <v>1824</v>
      </c>
      <c r="M11" s="57" t="s">
        <v>918</v>
      </c>
      <c r="N11" s="110">
        <v>288</v>
      </c>
      <c r="O11" s="57">
        <v>292</v>
      </c>
      <c r="P11" s="58">
        <v>40255.645833333336</v>
      </c>
      <c r="Q11" s="59">
        <v>185213602</v>
      </c>
      <c r="R11" s="4">
        <f t="shared" si="1"/>
        <v>30420400651.94592</v>
      </c>
      <c r="S11" s="4">
        <f t="shared" si="1"/>
        <v>0</v>
      </c>
      <c r="T11" s="4">
        <f t="shared" si="2"/>
        <v>30842906216.556282</v>
      </c>
      <c r="U11" s="4">
        <f t="shared" si="2"/>
        <v>0</v>
      </c>
      <c r="V11" s="4"/>
    </row>
    <row r="12" spans="1:22" ht="15.75">
      <c r="A12" s="52">
        <v>1833</v>
      </c>
      <c r="B12" s="12" t="s">
        <v>406</v>
      </c>
      <c r="C12" s="12" t="s">
        <v>398</v>
      </c>
      <c r="D12" s="12" t="s">
        <v>403</v>
      </c>
      <c r="E12" s="12">
        <v>0</v>
      </c>
      <c r="F12" s="12">
        <v>0</v>
      </c>
      <c r="G12" s="12">
        <v>100</v>
      </c>
      <c r="H12" s="12">
        <v>0</v>
      </c>
      <c r="I12" s="12" t="s">
        <v>401</v>
      </c>
      <c r="J12" s="12">
        <v>33.2264</v>
      </c>
      <c r="K12" s="12">
        <v>1</v>
      </c>
      <c r="L12" s="11">
        <f t="shared" si="0"/>
        <v>1833</v>
      </c>
      <c r="M12" s="57" t="s">
        <v>918</v>
      </c>
      <c r="N12" s="110">
        <v>327</v>
      </c>
      <c r="O12" s="57">
        <v>328</v>
      </c>
      <c r="P12" s="58">
        <v>40255.645833333336</v>
      </c>
      <c r="Q12" s="59">
        <v>228326133</v>
      </c>
      <c r="R12" s="4">
        <f t="shared" si="1"/>
        <v>49854936249.578384</v>
      </c>
      <c r="S12" s="4">
        <f t="shared" si="1"/>
        <v>0</v>
      </c>
      <c r="T12" s="4">
        <f t="shared" si="2"/>
        <v>50007397828.323265</v>
      </c>
      <c r="U12" s="4">
        <f t="shared" si="2"/>
        <v>0</v>
      </c>
      <c r="V12" s="4"/>
    </row>
    <row r="13" spans="1:22" ht="15.75">
      <c r="A13" s="52">
        <v>1860</v>
      </c>
      <c r="B13" s="12" t="s">
        <v>407</v>
      </c>
      <c r="C13" s="12" t="s">
        <v>398</v>
      </c>
      <c r="D13" s="12" t="s">
        <v>403</v>
      </c>
      <c r="E13" s="12">
        <v>0</v>
      </c>
      <c r="F13" s="12">
        <v>0</v>
      </c>
      <c r="G13" s="12">
        <v>100</v>
      </c>
      <c r="H13" s="12">
        <v>0</v>
      </c>
      <c r="I13" s="12" t="s">
        <v>401</v>
      </c>
      <c r="J13" s="12">
        <v>45.5408</v>
      </c>
      <c r="K13" s="12">
        <v>1</v>
      </c>
      <c r="L13" s="11">
        <f t="shared" si="0"/>
        <v>1860</v>
      </c>
      <c r="M13" s="57" t="s">
        <v>918</v>
      </c>
      <c r="N13" s="110">
        <v>332</v>
      </c>
      <c r="O13" s="57">
        <v>333</v>
      </c>
      <c r="P13" s="58">
        <v>40255.645833333336</v>
      </c>
      <c r="Q13" s="59">
        <v>322656796</v>
      </c>
      <c r="R13" s="4">
        <f t="shared" si="1"/>
        <v>58337814869.28103</v>
      </c>
      <c r="S13" s="4">
        <f t="shared" si="1"/>
        <v>0</v>
      </c>
      <c r="T13" s="4">
        <f t="shared" si="2"/>
        <v>58513531179.128265</v>
      </c>
      <c r="U13" s="4">
        <f t="shared" si="2"/>
        <v>0</v>
      </c>
      <c r="V13" s="4"/>
    </row>
    <row r="14" spans="1:22" ht="15.75">
      <c r="A14" s="52">
        <v>1881</v>
      </c>
      <c r="B14" s="12" t="s">
        <v>76</v>
      </c>
      <c r="C14" s="12" t="s">
        <v>398</v>
      </c>
      <c r="D14" s="12" t="s">
        <v>403</v>
      </c>
      <c r="E14" s="12">
        <v>0</v>
      </c>
      <c r="F14" s="12">
        <v>0</v>
      </c>
      <c r="G14" s="12">
        <v>100</v>
      </c>
      <c r="H14" s="12">
        <v>0</v>
      </c>
      <c r="I14" s="12" t="s">
        <v>401</v>
      </c>
      <c r="J14" s="12">
        <v>58.1058</v>
      </c>
      <c r="K14" s="12">
        <v>1</v>
      </c>
      <c r="L14" s="11">
        <f t="shared" si="0"/>
        <v>1881</v>
      </c>
      <c r="M14" s="57" t="s">
        <v>918</v>
      </c>
      <c r="N14" s="110">
        <v>733</v>
      </c>
      <c r="O14" s="57">
        <v>732</v>
      </c>
      <c r="P14" s="58">
        <v>40255.645833333336</v>
      </c>
      <c r="Q14" s="59">
        <v>119401836</v>
      </c>
      <c r="R14" s="4">
        <f t="shared" si="1"/>
        <v>36666451435.5163</v>
      </c>
      <c r="S14" s="4">
        <f t="shared" si="1"/>
        <v>0</v>
      </c>
      <c r="T14" s="4">
        <f t="shared" si="2"/>
        <v>36616428991.53878</v>
      </c>
      <c r="U14" s="4">
        <f t="shared" si="2"/>
        <v>0</v>
      </c>
      <c r="V14" s="4"/>
    </row>
    <row r="15" spans="1:22" ht="15.75">
      <c r="A15" s="52">
        <v>1883</v>
      </c>
      <c r="B15" s="12" t="s">
        <v>409</v>
      </c>
      <c r="C15" s="12" t="s">
        <v>398</v>
      </c>
      <c r="D15" s="12" t="s">
        <v>403</v>
      </c>
      <c r="E15" s="12">
        <v>0</v>
      </c>
      <c r="F15" s="12">
        <v>0</v>
      </c>
      <c r="G15" s="12">
        <v>100</v>
      </c>
      <c r="H15" s="12">
        <v>0</v>
      </c>
      <c r="I15" s="12" t="s">
        <v>401</v>
      </c>
      <c r="J15" s="12">
        <v>39.6133</v>
      </c>
      <c r="K15" s="12">
        <v>1</v>
      </c>
      <c r="L15" s="11">
        <f t="shared" si="0"/>
        <v>1883</v>
      </c>
      <c r="M15" s="57" t="s">
        <v>918</v>
      </c>
      <c r="N15" s="110">
        <v>762</v>
      </c>
      <c r="O15" s="57">
        <v>787</v>
      </c>
      <c r="P15" s="58">
        <v>40255.645833333336</v>
      </c>
      <c r="Q15" s="59">
        <v>94159453</v>
      </c>
      <c r="R15" s="4">
        <f t="shared" si="1"/>
        <v>43327157240.420265</v>
      </c>
      <c r="S15" s="4">
        <f t="shared" si="1"/>
        <v>0</v>
      </c>
      <c r="T15" s="4">
        <f t="shared" si="2"/>
        <v>44748651900.53904</v>
      </c>
      <c r="U15" s="4">
        <f t="shared" si="2"/>
        <v>0</v>
      </c>
      <c r="V15" s="4"/>
    </row>
    <row r="16" spans="1:22" ht="15.75">
      <c r="A16" s="52">
        <v>1911</v>
      </c>
      <c r="B16" s="12" t="s">
        <v>410</v>
      </c>
      <c r="C16" s="12" t="s">
        <v>404</v>
      </c>
      <c r="D16" s="12" t="s">
        <v>403</v>
      </c>
      <c r="E16" s="12">
        <v>0</v>
      </c>
      <c r="F16" s="12">
        <v>0</v>
      </c>
      <c r="G16" s="12">
        <v>100</v>
      </c>
      <c r="H16" s="12">
        <v>0</v>
      </c>
      <c r="I16" s="12" t="s">
        <v>401</v>
      </c>
      <c r="J16" s="12">
        <v>28.2293</v>
      </c>
      <c r="K16" s="12">
        <v>1</v>
      </c>
      <c r="L16" s="11">
        <f t="shared" si="0"/>
        <v>1911</v>
      </c>
      <c r="M16" s="57" t="s">
        <v>919</v>
      </c>
      <c r="N16" s="110">
        <v>733</v>
      </c>
      <c r="O16" s="57">
        <v>732</v>
      </c>
      <c r="P16" s="58">
        <v>40255.645833333336</v>
      </c>
      <c r="Q16" s="59">
        <v>177410239</v>
      </c>
      <c r="R16" s="4">
        <f t="shared" si="1"/>
        <v>93331842104.64621</v>
      </c>
      <c r="S16" s="4">
        <f t="shared" si="1"/>
        <v>0</v>
      </c>
      <c r="T16" s="4">
        <f t="shared" si="2"/>
        <v>93204513534.24423</v>
      </c>
      <c r="U16" s="4">
        <f t="shared" si="2"/>
        <v>0</v>
      </c>
      <c r="V16" s="4"/>
    </row>
    <row r="17" spans="1:22" ht="15.75">
      <c r="A17" s="52">
        <v>1924</v>
      </c>
      <c r="B17" s="12" t="s">
        <v>1141</v>
      </c>
      <c r="C17" s="12" t="s">
        <v>398</v>
      </c>
      <c r="D17" s="12" t="s">
        <v>403</v>
      </c>
      <c r="E17" s="12">
        <v>0</v>
      </c>
      <c r="F17" s="12">
        <v>0</v>
      </c>
      <c r="G17" s="12">
        <v>100</v>
      </c>
      <c r="H17" s="12">
        <v>0</v>
      </c>
      <c r="I17" s="12" t="s">
        <v>401</v>
      </c>
      <c r="J17" s="12">
        <v>61.5329</v>
      </c>
      <c r="K17" s="12">
        <v>1</v>
      </c>
      <c r="L17" s="11">
        <f t="shared" si="0"/>
        <v>1924</v>
      </c>
      <c r="M17" s="57" t="s">
        <v>918</v>
      </c>
      <c r="N17" s="110">
        <v>634</v>
      </c>
      <c r="O17" s="57">
        <v>643</v>
      </c>
      <c r="P17" s="58">
        <v>40255.645833333336</v>
      </c>
      <c r="Q17" s="59">
        <v>168563533</v>
      </c>
      <c r="R17" s="4">
        <f t="shared" si="1"/>
        <v>41109512776.87566</v>
      </c>
      <c r="S17" s="4">
        <f t="shared" si="1"/>
        <v>0</v>
      </c>
      <c r="T17" s="4">
        <f t="shared" si="2"/>
        <v>41693086302.09944</v>
      </c>
      <c r="U17" s="4">
        <f t="shared" si="2"/>
        <v>0</v>
      </c>
      <c r="V17" s="4"/>
    </row>
    <row r="18" spans="1:22" ht="15.75">
      <c r="A18" s="52">
        <v>1941</v>
      </c>
      <c r="B18" s="12" t="s">
        <v>77</v>
      </c>
      <c r="C18" s="12" t="s">
        <v>398</v>
      </c>
      <c r="D18" s="12" t="s">
        <v>403</v>
      </c>
      <c r="E18" s="12">
        <v>0</v>
      </c>
      <c r="F18" s="12">
        <v>0</v>
      </c>
      <c r="G18" s="12">
        <v>100</v>
      </c>
      <c r="H18" s="12">
        <v>0</v>
      </c>
      <c r="I18" s="12" t="s">
        <v>401</v>
      </c>
      <c r="J18" s="12">
        <v>68.4146</v>
      </c>
      <c r="K18" s="12">
        <v>1</v>
      </c>
      <c r="L18" s="11">
        <f t="shared" si="0"/>
        <v>1941</v>
      </c>
      <c r="M18" s="57" t="s">
        <v>918</v>
      </c>
      <c r="N18" s="110">
        <v>1168</v>
      </c>
      <c r="O18" s="57">
        <v>1171</v>
      </c>
      <c r="P18" s="58">
        <v>40255.645833333336</v>
      </c>
      <c r="Q18" s="59">
        <v>65138117</v>
      </c>
      <c r="R18" s="4">
        <f aca="true" t="shared" si="3" ref="R18:S80">(E18+G18)*(100-$J18)*$N18*$Q18/10000</f>
        <v>24030589454.480232</v>
      </c>
      <c r="S18" s="4">
        <f t="shared" si="3"/>
        <v>0</v>
      </c>
      <c r="T18" s="4">
        <f t="shared" si="2"/>
        <v>24092311858.900986</v>
      </c>
      <c r="U18" s="4">
        <f t="shared" si="2"/>
        <v>0</v>
      </c>
      <c r="V18" s="4"/>
    </row>
    <row r="19" spans="1:22" ht="15.75">
      <c r="A19" s="52">
        <v>1942</v>
      </c>
      <c r="B19" s="12" t="s">
        <v>411</v>
      </c>
      <c r="C19" s="12" t="s">
        <v>398</v>
      </c>
      <c r="D19" s="12" t="s">
        <v>403</v>
      </c>
      <c r="E19" s="12">
        <v>0</v>
      </c>
      <c r="F19" s="12">
        <v>0</v>
      </c>
      <c r="G19" s="12">
        <v>100</v>
      </c>
      <c r="H19" s="12">
        <v>0</v>
      </c>
      <c r="I19" s="12" t="s">
        <v>401</v>
      </c>
      <c r="J19" s="12">
        <v>57.7235</v>
      </c>
      <c r="K19" s="12">
        <v>1</v>
      </c>
      <c r="L19" s="11">
        <f t="shared" si="0"/>
        <v>1942</v>
      </c>
      <c r="M19" s="57" t="s">
        <v>918</v>
      </c>
      <c r="N19" s="110">
        <v>579</v>
      </c>
      <c r="O19" s="57">
        <v>578</v>
      </c>
      <c r="P19" s="58">
        <v>40255.645833333336</v>
      </c>
      <c r="Q19" s="59">
        <v>205288338</v>
      </c>
      <c r="R19" s="4">
        <f t="shared" si="3"/>
        <v>50250671320.23602</v>
      </c>
      <c r="S19" s="4">
        <f t="shared" si="3"/>
        <v>0</v>
      </c>
      <c r="T19" s="4">
        <f aca="true" t="shared" si="4" ref="T19:U81">(E19+G19)*(100-$J19)*$O19*$Q19/10000</f>
        <v>50163882596.021454</v>
      </c>
      <c r="U19" s="4">
        <f t="shared" si="4"/>
        <v>0</v>
      </c>
      <c r="V19" s="4"/>
    </row>
    <row r="20" spans="1:22" ht="15.75">
      <c r="A20" s="52">
        <v>1944</v>
      </c>
      <c r="B20" s="12" t="s">
        <v>412</v>
      </c>
      <c r="C20" s="12" t="s">
        <v>404</v>
      </c>
      <c r="D20" s="12" t="s">
        <v>403</v>
      </c>
      <c r="E20" s="12">
        <v>0</v>
      </c>
      <c r="F20" s="12">
        <v>0</v>
      </c>
      <c r="G20" s="12">
        <v>100</v>
      </c>
      <c r="H20" s="12">
        <v>0</v>
      </c>
      <c r="I20" s="12" t="s">
        <v>401</v>
      </c>
      <c r="J20" s="12">
        <v>53.7658</v>
      </c>
      <c r="K20" s="12">
        <v>1</v>
      </c>
      <c r="L20" s="11">
        <f aca="true" t="shared" si="5" ref="L20:L82">A20</f>
        <v>1944</v>
      </c>
      <c r="M20" s="57" t="s">
        <v>919</v>
      </c>
      <c r="N20" s="110">
        <v>798</v>
      </c>
      <c r="O20" s="57">
        <v>801</v>
      </c>
      <c r="P20" s="58">
        <v>40255.645833333336</v>
      </c>
      <c r="Q20" s="59">
        <v>266065080</v>
      </c>
      <c r="R20" s="4">
        <f t="shared" si="3"/>
        <v>98164422851.4533</v>
      </c>
      <c r="S20" s="4">
        <f t="shared" si="3"/>
        <v>0</v>
      </c>
      <c r="T20" s="4">
        <f t="shared" si="4"/>
        <v>98533462035.10536</v>
      </c>
      <c r="U20" s="4">
        <f t="shared" si="4"/>
        <v>0</v>
      </c>
      <c r="V20" s="4"/>
    </row>
    <row r="21" spans="1:22" ht="15.75">
      <c r="A21" s="52">
        <v>1951</v>
      </c>
      <c r="B21" s="12" t="s">
        <v>413</v>
      </c>
      <c r="C21" s="12" t="s">
        <v>398</v>
      </c>
      <c r="D21" s="12" t="s">
        <v>403</v>
      </c>
      <c r="E21" s="12">
        <v>0</v>
      </c>
      <c r="F21" s="12">
        <v>0</v>
      </c>
      <c r="G21" s="12">
        <v>83.4981</v>
      </c>
      <c r="H21" s="12">
        <v>16.5019</v>
      </c>
      <c r="I21" s="12" t="s">
        <v>401</v>
      </c>
      <c r="J21" s="12">
        <v>42.4218</v>
      </c>
      <c r="K21" s="12">
        <v>1</v>
      </c>
      <c r="L21" s="11">
        <f t="shared" si="5"/>
        <v>1951</v>
      </c>
      <c r="M21" s="57" t="s">
        <v>918</v>
      </c>
      <c r="N21" s="110">
        <v>745</v>
      </c>
      <c r="O21" s="57">
        <v>742</v>
      </c>
      <c r="P21" s="58">
        <v>40255.645833333336</v>
      </c>
      <c r="Q21" s="59">
        <v>117812419</v>
      </c>
      <c r="R21" s="4">
        <f t="shared" si="3"/>
        <v>42197043463.37383</v>
      </c>
      <c r="S21" s="4">
        <f t="shared" si="3"/>
        <v>8339487862.936384</v>
      </c>
      <c r="T21" s="4">
        <f t="shared" si="4"/>
        <v>42027122482.984406</v>
      </c>
      <c r="U21" s="4">
        <f t="shared" si="4"/>
        <v>8305906032.615834</v>
      </c>
      <c r="V21" s="4"/>
    </row>
    <row r="22" spans="1:22" ht="15.75">
      <c r="A22" s="52">
        <v>1961</v>
      </c>
      <c r="B22" s="12" t="s">
        <v>78</v>
      </c>
      <c r="C22" s="12" t="s">
        <v>398</v>
      </c>
      <c r="D22" s="12" t="s">
        <v>403</v>
      </c>
      <c r="E22" s="12">
        <v>0</v>
      </c>
      <c r="F22" s="12">
        <v>0</v>
      </c>
      <c r="G22" s="12">
        <v>100</v>
      </c>
      <c r="H22" s="12">
        <v>0</v>
      </c>
      <c r="I22" s="12" t="s">
        <v>401</v>
      </c>
      <c r="J22" s="12">
        <v>50.6524</v>
      </c>
      <c r="K22" s="12">
        <v>1</v>
      </c>
      <c r="L22" s="11">
        <f t="shared" si="5"/>
        <v>1961</v>
      </c>
      <c r="M22" s="57" t="s">
        <v>918</v>
      </c>
      <c r="N22" s="110">
        <v>618</v>
      </c>
      <c r="O22" s="57">
        <v>627</v>
      </c>
      <c r="P22" s="58">
        <v>40255.645833333336</v>
      </c>
      <c r="Q22" s="59">
        <v>74461156</v>
      </c>
      <c r="R22" s="4">
        <f t="shared" si="3"/>
        <v>22708282332.48221</v>
      </c>
      <c r="S22" s="4">
        <f t="shared" si="3"/>
        <v>0</v>
      </c>
      <c r="T22" s="4">
        <f t="shared" si="4"/>
        <v>23038985473.246513</v>
      </c>
      <c r="U22" s="4">
        <f t="shared" si="4"/>
        <v>0</v>
      </c>
      <c r="V22" s="4"/>
    </row>
    <row r="23" spans="1:22" ht="15.75">
      <c r="A23" s="52">
        <v>1968</v>
      </c>
      <c r="B23" s="12" t="s">
        <v>79</v>
      </c>
      <c r="C23" s="12" t="s">
        <v>398</v>
      </c>
      <c r="D23" s="12" t="s">
        <v>403</v>
      </c>
      <c r="E23" s="12">
        <v>0</v>
      </c>
      <c r="F23" s="12">
        <v>0</v>
      </c>
      <c r="G23" s="12">
        <v>100</v>
      </c>
      <c r="H23" s="12">
        <v>0</v>
      </c>
      <c r="I23" s="12" t="s">
        <v>401</v>
      </c>
      <c r="J23" s="12">
        <v>39.2524</v>
      </c>
      <c r="K23" s="12">
        <v>1</v>
      </c>
      <c r="L23" s="11">
        <f t="shared" si="5"/>
        <v>1968</v>
      </c>
      <c r="M23" s="57" t="s">
        <v>918</v>
      </c>
      <c r="N23" s="110">
        <v>800</v>
      </c>
      <c r="O23" s="57">
        <v>792</v>
      </c>
      <c r="P23" s="58">
        <v>40255.645833333336</v>
      </c>
      <c r="Q23" s="59">
        <v>42683960</v>
      </c>
      <c r="R23" s="4">
        <f t="shared" si="3"/>
        <v>20743585027.968</v>
      </c>
      <c r="S23" s="4">
        <f t="shared" si="3"/>
        <v>0</v>
      </c>
      <c r="T23" s="4">
        <f t="shared" si="4"/>
        <v>20536149177.68832</v>
      </c>
      <c r="U23" s="4">
        <f t="shared" si="4"/>
        <v>0</v>
      </c>
      <c r="V23" s="4"/>
    </row>
    <row r="24" spans="1:22" ht="15.75">
      <c r="A24" s="52">
        <v>1969</v>
      </c>
      <c r="B24" s="12" t="s">
        <v>414</v>
      </c>
      <c r="C24" s="12" t="s">
        <v>398</v>
      </c>
      <c r="D24" s="12" t="s">
        <v>403</v>
      </c>
      <c r="E24" s="12">
        <v>0</v>
      </c>
      <c r="F24" s="12">
        <v>0</v>
      </c>
      <c r="G24" s="12">
        <v>100</v>
      </c>
      <c r="H24" s="12">
        <v>0</v>
      </c>
      <c r="I24" s="12" t="s">
        <v>401</v>
      </c>
      <c r="J24" s="12">
        <v>50.351</v>
      </c>
      <c r="K24" s="12">
        <v>1</v>
      </c>
      <c r="L24" s="11">
        <f t="shared" si="5"/>
        <v>1969</v>
      </c>
      <c r="M24" s="57" t="s">
        <v>918</v>
      </c>
      <c r="N24" s="110">
        <v>726</v>
      </c>
      <c r="O24" s="57">
        <v>724</v>
      </c>
      <c r="P24" s="58">
        <v>40255.645833333336</v>
      </c>
      <c r="Q24" s="59">
        <v>85765768</v>
      </c>
      <c r="R24" s="4">
        <f t="shared" si="3"/>
        <v>30914420308.03632</v>
      </c>
      <c r="S24" s="4">
        <f t="shared" si="3"/>
        <v>0</v>
      </c>
      <c r="T24" s="4">
        <f t="shared" si="4"/>
        <v>30829256615.727676</v>
      </c>
      <c r="U24" s="4">
        <f t="shared" si="4"/>
        <v>0</v>
      </c>
      <c r="V24" s="4"/>
    </row>
    <row r="25" spans="1:22" ht="15.75">
      <c r="A25" s="52">
        <v>1973</v>
      </c>
      <c r="B25" s="12" t="s">
        <v>80</v>
      </c>
      <c r="C25" s="12" t="s">
        <v>398</v>
      </c>
      <c r="D25" s="12" t="s">
        <v>403</v>
      </c>
      <c r="E25" s="12">
        <v>0</v>
      </c>
      <c r="F25" s="12">
        <v>0</v>
      </c>
      <c r="G25" s="12">
        <v>100</v>
      </c>
      <c r="H25" s="12">
        <v>0</v>
      </c>
      <c r="I25" s="12" t="s">
        <v>401</v>
      </c>
      <c r="J25" s="12">
        <v>55.7126</v>
      </c>
      <c r="K25" s="12">
        <v>1</v>
      </c>
      <c r="L25" s="11">
        <f t="shared" si="5"/>
        <v>1973</v>
      </c>
      <c r="M25" s="57" t="s">
        <v>918</v>
      </c>
      <c r="N25" s="110">
        <v>1083</v>
      </c>
      <c r="O25" s="57">
        <v>1071</v>
      </c>
      <c r="P25" s="58">
        <v>40255.645833333336</v>
      </c>
      <c r="Q25" s="59">
        <v>49773807</v>
      </c>
      <c r="R25" s="4">
        <f t="shared" si="3"/>
        <v>23873137576.427395</v>
      </c>
      <c r="S25" s="4">
        <f t="shared" si="3"/>
        <v>0</v>
      </c>
      <c r="T25" s="4">
        <f t="shared" si="4"/>
        <v>23608615276.41158</v>
      </c>
      <c r="U25" s="4">
        <f t="shared" si="4"/>
        <v>0</v>
      </c>
      <c r="V25" s="4"/>
    </row>
    <row r="26" spans="1:22" ht="15.75">
      <c r="A26" s="52">
        <v>1979</v>
      </c>
      <c r="B26" s="12" t="s">
        <v>81</v>
      </c>
      <c r="C26" s="12" t="s">
        <v>398</v>
      </c>
      <c r="D26" s="12" t="s">
        <v>403</v>
      </c>
      <c r="E26" s="12">
        <v>0</v>
      </c>
      <c r="F26" s="12">
        <v>0</v>
      </c>
      <c r="G26" s="12">
        <v>100</v>
      </c>
      <c r="H26" s="12">
        <v>0</v>
      </c>
      <c r="I26" s="12" t="s">
        <v>401</v>
      </c>
      <c r="J26" s="12">
        <v>40.4363</v>
      </c>
      <c r="K26" s="12">
        <v>1</v>
      </c>
      <c r="L26" s="11">
        <f t="shared" si="5"/>
        <v>1979</v>
      </c>
      <c r="M26" s="57" t="s">
        <v>918</v>
      </c>
      <c r="N26" s="110">
        <v>1457</v>
      </c>
      <c r="O26" s="57">
        <v>1461</v>
      </c>
      <c r="P26" s="58">
        <v>40255.645833333336</v>
      </c>
      <c r="Q26" s="59">
        <v>36782009</v>
      </c>
      <c r="R26" s="4">
        <f t="shared" si="3"/>
        <v>31921013045.82598</v>
      </c>
      <c r="S26" s="4">
        <f t="shared" si="3"/>
        <v>0</v>
      </c>
      <c r="T26" s="4">
        <f t="shared" si="4"/>
        <v>32008647947.804913</v>
      </c>
      <c r="U26" s="4">
        <f t="shared" si="4"/>
        <v>0</v>
      </c>
      <c r="V26" s="4"/>
    </row>
    <row r="27" spans="1:22" ht="15.75">
      <c r="A27" s="52">
        <v>1983</v>
      </c>
      <c r="B27" s="12" t="s">
        <v>1142</v>
      </c>
      <c r="C27" s="12" t="s">
        <v>398</v>
      </c>
      <c r="D27" s="12" t="s">
        <v>403</v>
      </c>
      <c r="E27" s="12">
        <v>0</v>
      </c>
      <c r="F27" s="12">
        <v>0</v>
      </c>
      <c r="G27" s="12">
        <v>0</v>
      </c>
      <c r="H27" s="12">
        <v>100</v>
      </c>
      <c r="I27" s="12" t="s">
        <v>401</v>
      </c>
      <c r="J27" s="12">
        <v>63.3352</v>
      </c>
      <c r="K27" s="12">
        <v>1</v>
      </c>
      <c r="L27" s="11">
        <f t="shared" si="5"/>
        <v>1983</v>
      </c>
      <c r="M27" s="57" t="s">
        <v>918</v>
      </c>
      <c r="N27" s="110">
        <v>1026</v>
      </c>
      <c r="O27" s="57">
        <v>1032</v>
      </c>
      <c r="P27" s="58">
        <v>40255.645833333336</v>
      </c>
      <c r="Q27" s="59">
        <v>97656888</v>
      </c>
      <c r="R27" s="4">
        <f t="shared" si="3"/>
        <v>0</v>
      </c>
      <c r="S27" s="4">
        <f t="shared" si="3"/>
        <v>36736650940.88103</v>
      </c>
      <c r="T27" s="4">
        <f t="shared" si="4"/>
        <v>0</v>
      </c>
      <c r="U27" s="4">
        <f t="shared" si="4"/>
        <v>36951485156.90957</v>
      </c>
      <c r="V27" s="4"/>
    </row>
    <row r="28" spans="1:22" ht="15.75">
      <c r="A28" s="52">
        <v>2001</v>
      </c>
      <c r="B28" s="12" t="s">
        <v>1143</v>
      </c>
      <c r="C28" s="12" t="s">
        <v>398</v>
      </c>
      <c r="D28" s="12" t="s">
        <v>415</v>
      </c>
      <c r="E28" s="12">
        <v>0</v>
      </c>
      <c r="F28" s="12">
        <v>0</v>
      </c>
      <c r="G28" s="12">
        <v>100</v>
      </c>
      <c r="H28" s="12">
        <v>0</v>
      </c>
      <c r="I28" s="12" t="s">
        <v>401</v>
      </c>
      <c r="J28" s="12">
        <v>46.7176</v>
      </c>
      <c r="K28" s="12">
        <v>1</v>
      </c>
      <c r="L28" s="11">
        <f t="shared" si="5"/>
        <v>2001</v>
      </c>
      <c r="M28" s="57" t="s">
        <v>918</v>
      </c>
      <c r="N28" s="110">
        <v>460</v>
      </c>
      <c r="O28" s="57">
        <v>460</v>
      </c>
      <c r="P28" s="58">
        <v>40255.645833333336</v>
      </c>
      <c r="Q28" s="59">
        <v>174148018</v>
      </c>
      <c r="R28" s="4">
        <f t="shared" si="3"/>
        <v>42683512029.70273</v>
      </c>
      <c r="S28" s="4">
        <f t="shared" si="3"/>
        <v>0</v>
      </c>
      <c r="T28" s="4">
        <f t="shared" si="4"/>
        <v>42683512029.70273</v>
      </c>
      <c r="U28" s="4">
        <f t="shared" si="4"/>
        <v>0</v>
      </c>
      <c r="V28" s="4"/>
    </row>
    <row r="29" spans="1:22" ht="15.75">
      <c r="A29" s="52">
        <v>2059</v>
      </c>
      <c r="B29" s="67" t="s">
        <v>1144</v>
      </c>
      <c r="C29" s="12" t="s">
        <v>398</v>
      </c>
      <c r="D29" s="12" t="s">
        <v>415</v>
      </c>
      <c r="E29" s="12">
        <v>0</v>
      </c>
      <c r="F29" s="12">
        <v>0</v>
      </c>
      <c r="G29" s="12">
        <v>0</v>
      </c>
      <c r="H29" s="67">
        <v>100</v>
      </c>
      <c r="I29" s="12" t="s">
        <v>401</v>
      </c>
      <c r="J29" s="67">
        <v>55.6215</v>
      </c>
      <c r="K29" s="12">
        <v>1</v>
      </c>
      <c r="L29" s="11">
        <f t="shared" si="5"/>
        <v>2059</v>
      </c>
      <c r="M29" s="57" t="s">
        <v>918</v>
      </c>
      <c r="N29" s="110">
        <v>2989</v>
      </c>
      <c r="O29" s="57">
        <v>2956</v>
      </c>
      <c r="P29" s="58">
        <v>40255.645833333336</v>
      </c>
      <c r="Q29" s="59">
        <v>29360000</v>
      </c>
      <c r="R29" s="4"/>
      <c r="S29" s="4"/>
      <c r="T29" s="4"/>
      <c r="U29" s="4"/>
      <c r="V29" s="4"/>
    </row>
    <row r="30" spans="1:22" ht="15.75">
      <c r="A30" s="52">
        <v>2109</v>
      </c>
      <c r="B30" s="12" t="s">
        <v>82</v>
      </c>
      <c r="C30" s="12" t="s">
        <v>398</v>
      </c>
      <c r="D30" s="12" t="s">
        <v>415</v>
      </c>
      <c r="E30" s="12">
        <v>0</v>
      </c>
      <c r="F30" s="12">
        <v>0</v>
      </c>
      <c r="G30" s="12">
        <v>100</v>
      </c>
      <c r="H30" s="12">
        <v>0</v>
      </c>
      <c r="I30" s="12" t="s">
        <v>401</v>
      </c>
      <c r="J30" s="12">
        <v>44.8287</v>
      </c>
      <c r="K30" s="12">
        <v>1</v>
      </c>
      <c r="L30" s="11">
        <f t="shared" si="5"/>
        <v>2109</v>
      </c>
      <c r="M30" s="57" t="s">
        <v>918</v>
      </c>
      <c r="N30" s="110">
        <v>307</v>
      </c>
      <c r="O30" s="57">
        <v>308</v>
      </c>
      <c r="P30" s="58">
        <v>40255.645833333336</v>
      </c>
      <c r="Q30" s="59">
        <v>141667400</v>
      </c>
      <c r="R30" s="4">
        <f t="shared" si="3"/>
        <v>23995042100.653404</v>
      </c>
      <c r="S30" s="4">
        <f t="shared" si="3"/>
        <v>0</v>
      </c>
      <c r="T30" s="4">
        <f t="shared" si="4"/>
        <v>24073201846.9096</v>
      </c>
      <c r="U30" s="4">
        <f t="shared" si="4"/>
        <v>0</v>
      </c>
      <c r="V30" s="4"/>
    </row>
    <row r="31" spans="1:22" ht="15.75">
      <c r="A31" s="52">
        <v>2121</v>
      </c>
      <c r="B31" s="12" t="s">
        <v>416</v>
      </c>
      <c r="C31" s="12" t="s">
        <v>404</v>
      </c>
      <c r="D31" s="12" t="s">
        <v>372</v>
      </c>
      <c r="E31" s="12">
        <v>0</v>
      </c>
      <c r="F31" s="12">
        <v>0</v>
      </c>
      <c r="G31" s="12">
        <v>0</v>
      </c>
      <c r="H31" s="12">
        <v>100</v>
      </c>
      <c r="I31" s="12" t="s">
        <v>401</v>
      </c>
      <c r="J31" s="62">
        <v>64.8558</v>
      </c>
      <c r="K31" s="12">
        <v>1</v>
      </c>
      <c r="L31" s="11">
        <f t="shared" si="5"/>
        <v>2121</v>
      </c>
      <c r="M31" s="57" t="s">
        <v>920</v>
      </c>
      <c r="N31" s="110">
        <v>572000</v>
      </c>
      <c r="O31" s="57">
        <v>583000</v>
      </c>
      <c r="P31" s="58">
        <v>40255.645833333336</v>
      </c>
      <c r="Q31" s="59">
        <v>154552</v>
      </c>
      <c r="R31" s="4">
        <f t="shared" si="3"/>
        <v>0</v>
      </c>
      <c r="S31" s="4">
        <f t="shared" si="3"/>
        <v>31068788598.847992</v>
      </c>
      <c r="T31" s="4">
        <f t="shared" si="4"/>
        <v>0</v>
      </c>
      <c r="U31" s="4">
        <f t="shared" si="4"/>
        <v>31666265302.671993</v>
      </c>
      <c r="V31" s="4"/>
    </row>
    <row r="32" spans="1:22" ht="15.75">
      <c r="A32" s="52">
        <v>2131</v>
      </c>
      <c r="B32" s="12" t="s">
        <v>417</v>
      </c>
      <c r="C32" s="12" t="s">
        <v>398</v>
      </c>
      <c r="D32" s="12" t="s">
        <v>372</v>
      </c>
      <c r="E32" s="12">
        <v>0</v>
      </c>
      <c r="F32" s="12">
        <v>0</v>
      </c>
      <c r="G32" s="12">
        <v>22.0963</v>
      </c>
      <c r="H32" s="12">
        <v>77.9037</v>
      </c>
      <c r="I32" s="12" t="s">
        <v>401</v>
      </c>
      <c r="J32" s="12">
        <v>46.8963</v>
      </c>
      <c r="K32" s="12">
        <v>1</v>
      </c>
      <c r="L32" s="11">
        <f t="shared" si="5"/>
        <v>2131</v>
      </c>
      <c r="M32" s="57" t="s">
        <v>918</v>
      </c>
      <c r="N32" s="110">
        <v>89800</v>
      </c>
      <c r="O32" s="57">
        <v>90400</v>
      </c>
      <c r="P32" s="58">
        <v>40255.645833333336</v>
      </c>
      <c r="Q32" s="59">
        <v>1051168</v>
      </c>
      <c r="R32" s="4">
        <f t="shared" si="3"/>
        <v>11076251475.352793</v>
      </c>
      <c r="S32" s="4">
        <f t="shared" si="3"/>
        <v>39050925813.84401</v>
      </c>
      <c r="T32" s="4">
        <f t="shared" si="4"/>
        <v>11150257609.93199</v>
      </c>
      <c r="U32" s="4">
        <f t="shared" si="4"/>
        <v>39311845139.994415</v>
      </c>
      <c r="V32" s="4"/>
    </row>
    <row r="33" spans="1:22" ht="15.75">
      <c r="A33" s="52">
        <v>2201</v>
      </c>
      <c r="B33" s="12" t="s">
        <v>83</v>
      </c>
      <c r="C33" s="12" t="s">
        <v>398</v>
      </c>
      <c r="D33" s="12" t="s">
        <v>415</v>
      </c>
      <c r="E33" s="12">
        <v>0</v>
      </c>
      <c r="F33" s="12">
        <v>0</v>
      </c>
      <c r="G33" s="12">
        <v>91.7956</v>
      </c>
      <c r="H33" s="12">
        <v>8.2044</v>
      </c>
      <c r="I33" s="12" t="s">
        <v>401</v>
      </c>
      <c r="J33" s="12">
        <v>42.4374</v>
      </c>
      <c r="K33" s="12">
        <v>1</v>
      </c>
      <c r="L33" s="11">
        <f t="shared" si="5"/>
        <v>2201</v>
      </c>
      <c r="M33" s="57" t="s">
        <v>918</v>
      </c>
      <c r="N33" s="110">
        <v>213</v>
      </c>
      <c r="O33" s="57">
        <v>212</v>
      </c>
      <c r="P33" s="58">
        <v>40255.645833333336</v>
      </c>
      <c r="Q33" s="59">
        <v>270948848</v>
      </c>
      <c r="R33" s="4">
        <f t="shared" si="3"/>
        <v>30495038019.64927</v>
      </c>
      <c r="S33" s="4">
        <f t="shared" si="3"/>
        <v>2725549916.645356</v>
      </c>
      <c r="T33" s="4">
        <f t="shared" si="4"/>
        <v>30351868827.068756</v>
      </c>
      <c r="U33" s="4">
        <f t="shared" si="4"/>
        <v>2712753907.6470213</v>
      </c>
      <c r="V33" s="4"/>
    </row>
    <row r="34" spans="1:22" ht="15.75">
      <c r="A34" s="52">
        <v>2206</v>
      </c>
      <c r="B34" s="12" t="s">
        <v>419</v>
      </c>
      <c r="C34" s="12" t="s">
        <v>398</v>
      </c>
      <c r="D34" s="12" t="s">
        <v>415</v>
      </c>
      <c r="E34" s="12">
        <v>0</v>
      </c>
      <c r="F34" s="12">
        <v>0</v>
      </c>
      <c r="G34" s="12">
        <v>19.2956</v>
      </c>
      <c r="H34" s="12">
        <v>80.7044</v>
      </c>
      <c r="I34" s="12" t="s">
        <v>401</v>
      </c>
      <c r="J34" s="12">
        <v>52.9271</v>
      </c>
      <c r="K34" s="12">
        <v>1</v>
      </c>
      <c r="L34" s="11">
        <f t="shared" si="5"/>
        <v>2206</v>
      </c>
      <c r="M34" s="57" t="s">
        <v>918</v>
      </c>
      <c r="N34" s="110">
        <v>1076</v>
      </c>
      <c r="O34" s="57">
        <v>1078</v>
      </c>
      <c r="P34" s="58">
        <v>40255.645833333336</v>
      </c>
      <c r="Q34" s="59">
        <v>144860138</v>
      </c>
      <c r="R34" s="4">
        <f t="shared" si="3"/>
        <v>14157625106.076328</v>
      </c>
      <c r="S34" s="4">
        <f t="shared" si="3"/>
        <v>59214672754.97143</v>
      </c>
      <c r="T34" s="4">
        <f t="shared" si="4"/>
        <v>14183940394.377588</v>
      </c>
      <c r="U34" s="4">
        <f t="shared" si="4"/>
        <v>59324737202.471375</v>
      </c>
      <c r="V34" s="4"/>
    </row>
    <row r="35" spans="1:22" ht="15.75">
      <c r="A35" s="52">
        <v>2264</v>
      </c>
      <c r="B35" s="12" t="s">
        <v>420</v>
      </c>
      <c r="C35" s="12" t="s">
        <v>398</v>
      </c>
      <c r="D35" s="12" t="s">
        <v>415</v>
      </c>
      <c r="E35" s="12">
        <v>0</v>
      </c>
      <c r="F35" s="12">
        <v>0</v>
      </c>
      <c r="G35" s="12">
        <v>91.0448</v>
      </c>
      <c r="H35" s="12">
        <v>8.9552</v>
      </c>
      <c r="I35" s="12" t="s">
        <v>401</v>
      </c>
      <c r="J35" s="12">
        <v>37.481</v>
      </c>
      <c r="K35" s="12">
        <v>1</v>
      </c>
      <c r="L35" s="11">
        <f t="shared" si="5"/>
        <v>2264</v>
      </c>
      <c r="M35" s="57" t="s">
        <v>918</v>
      </c>
      <c r="N35" s="110">
        <v>366</v>
      </c>
      <c r="O35" s="57">
        <v>368</v>
      </c>
      <c r="P35" s="58">
        <v>40255.645833333336</v>
      </c>
      <c r="Q35" s="59">
        <v>253977218</v>
      </c>
      <c r="R35" s="4">
        <f t="shared" si="3"/>
        <v>52910640173.53471</v>
      </c>
      <c r="S35" s="4">
        <f t="shared" si="3"/>
        <v>5204310019.705003</v>
      </c>
      <c r="T35" s="4">
        <f t="shared" si="4"/>
        <v>53199769354.81086</v>
      </c>
      <c r="U35" s="4">
        <f t="shared" si="4"/>
        <v>5232748872.271696</v>
      </c>
      <c r="V35" s="4"/>
    </row>
    <row r="36" spans="1:22" ht="15.75">
      <c r="A36" s="52">
        <v>2270</v>
      </c>
      <c r="B36" s="12" t="s">
        <v>84</v>
      </c>
      <c r="C36" s="12" t="s">
        <v>398</v>
      </c>
      <c r="D36" s="12" t="s">
        <v>415</v>
      </c>
      <c r="E36" s="12">
        <v>0</v>
      </c>
      <c r="F36" s="12">
        <v>0</v>
      </c>
      <c r="G36" s="12">
        <v>0</v>
      </c>
      <c r="H36" s="12">
        <v>100</v>
      </c>
      <c r="I36" s="12" t="s">
        <v>401</v>
      </c>
      <c r="J36" s="12">
        <v>52.3443</v>
      </c>
      <c r="K36" s="12">
        <v>1</v>
      </c>
      <c r="L36" s="11">
        <f t="shared" si="5"/>
        <v>2270</v>
      </c>
      <c r="M36" s="57" t="s">
        <v>918</v>
      </c>
      <c r="N36" s="110">
        <v>1476</v>
      </c>
      <c r="O36" s="57">
        <v>1468</v>
      </c>
      <c r="P36" s="58">
        <v>40255.645833333336</v>
      </c>
      <c r="Q36" s="59">
        <v>70751855</v>
      </c>
      <c r="R36" s="4">
        <f t="shared" si="3"/>
        <v>0</v>
      </c>
      <c r="S36" s="4">
        <f t="shared" si="3"/>
        <v>49766722642.53487</v>
      </c>
      <c r="T36" s="4">
        <f t="shared" si="4"/>
        <v>0</v>
      </c>
      <c r="U36" s="4">
        <f t="shared" si="4"/>
        <v>49496984308.428986</v>
      </c>
      <c r="V36" s="4"/>
    </row>
    <row r="37" spans="1:22" ht="15.75">
      <c r="A37" s="52">
        <v>2284</v>
      </c>
      <c r="B37" s="12" t="s">
        <v>421</v>
      </c>
      <c r="C37" s="12" t="s">
        <v>398</v>
      </c>
      <c r="D37" s="12" t="s">
        <v>415</v>
      </c>
      <c r="E37" s="12">
        <v>0</v>
      </c>
      <c r="F37" s="12">
        <v>0</v>
      </c>
      <c r="G37" s="12">
        <v>100</v>
      </c>
      <c r="H37" s="12">
        <v>0</v>
      </c>
      <c r="I37" s="12" t="s">
        <v>401</v>
      </c>
      <c r="J37" s="12">
        <v>51.6696</v>
      </c>
      <c r="K37" s="12">
        <v>1</v>
      </c>
      <c r="L37" s="11">
        <f t="shared" si="5"/>
        <v>2284</v>
      </c>
      <c r="M37" s="57" t="s">
        <v>918</v>
      </c>
      <c r="N37" s="110">
        <v>345</v>
      </c>
      <c r="O37" s="57">
        <v>347</v>
      </c>
      <c r="P37" s="58">
        <v>40255.645833333336</v>
      </c>
      <c r="Q37" s="59">
        <v>247482533</v>
      </c>
      <c r="R37" s="4">
        <f t="shared" si="3"/>
        <v>41265207854.516045</v>
      </c>
      <c r="S37" s="4">
        <f t="shared" si="3"/>
        <v>0</v>
      </c>
      <c r="T37" s="4">
        <f t="shared" si="4"/>
        <v>41504426450.7741</v>
      </c>
      <c r="U37" s="4">
        <f t="shared" si="4"/>
        <v>0</v>
      </c>
      <c r="V37" s="4"/>
    </row>
    <row r="38" spans="1:22" ht="15.75">
      <c r="A38" s="52">
        <v>2288</v>
      </c>
      <c r="B38" s="12" t="s">
        <v>85</v>
      </c>
      <c r="C38" s="12" t="s">
        <v>398</v>
      </c>
      <c r="D38" s="12" t="s">
        <v>415</v>
      </c>
      <c r="E38" s="12">
        <v>0</v>
      </c>
      <c r="F38" s="12">
        <v>0</v>
      </c>
      <c r="G38" s="12">
        <v>100</v>
      </c>
      <c r="H38" s="12">
        <v>0</v>
      </c>
      <c r="I38" s="12" t="s">
        <v>401</v>
      </c>
      <c r="J38" s="12">
        <v>28.4936</v>
      </c>
      <c r="K38" s="12">
        <v>1</v>
      </c>
      <c r="L38" s="11">
        <f t="shared" si="5"/>
        <v>2288</v>
      </c>
      <c r="M38" s="57" t="s">
        <v>918</v>
      </c>
      <c r="N38" s="110">
        <v>268</v>
      </c>
      <c r="O38" s="57">
        <v>270</v>
      </c>
      <c r="P38" s="58">
        <v>40255.645833333336</v>
      </c>
      <c r="Q38" s="59">
        <v>132527909</v>
      </c>
      <c r="R38" s="4">
        <f t="shared" si="3"/>
        <v>25397271041.27517</v>
      </c>
      <c r="S38" s="4">
        <f t="shared" si="3"/>
        <v>0</v>
      </c>
      <c r="T38" s="4">
        <f t="shared" si="4"/>
        <v>25586802914.71752</v>
      </c>
      <c r="U38" s="4">
        <f t="shared" si="4"/>
        <v>0</v>
      </c>
      <c r="V38" s="4"/>
    </row>
    <row r="39" spans="1:22" ht="15.75">
      <c r="A39" s="52">
        <v>2327</v>
      </c>
      <c r="B39" s="12" t="s">
        <v>86</v>
      </c>
      <c r="C39" s="12" t="s">
        <v>398</v>
      </c>
      <c r="D39" s="12" t="s">
        <v>422</v>
      </c>
      <c r="E39" s="12">
        <v>0</v>
      </c>
      <c r="F39" s="12">
        <v>0</v>
      </c>
      <c r="G39" s="12">
        <v>69.1422</v>
      </c>
      <c r="H39" s="12">
        <v>30.8578</v>
      </c>
      <c r="I39" s="12" t="s">
        <v>401</v>
      </c>
      <c r="J39" s="12">
        <v>68.637</v>
      </c>
      <c r="K39" s="12">
        <v>1</v>
      </c>
      <c r="L39" s="11">
        <f t="shared" si="5"/>
        <v>2327</v>
      </c>
      <c r="M39" s="57" t="s">
        <v>918</v>
      </c>
      <c r="N39" s="110">
        <v>1452</v>
      </c>
      <c r="O39" s="57">
        <v>1460</v>
      </c>
      <c r="P39" s="58">
        <v>40255.645833333336</v>
      </c>
      <c r="Q39" s="59">
        <v>52999120</v>
      </c>
      <c r="R39" s="4">
        <f t="shared" si="3"/>
        <v>16687683990.090906</v>
      </c>
      <c r="S39" s="4">
        <f t="shared" si="3"/>
        <v>7447625546.040294</v>
      </c>
      <c r="T39" s="4">
        <f t="shared" si="4"/>
        <v>16779627152.570747</v>
      </c>
      <c r="U39" s="4">
        <f t="shared" si="4"/>
        <v>7488659295.605253</v>
      </c>
      <c r="V39" s="4"/>
    </row>
    <row r="40" spans="1:22" ht="15.75">
      <c r="A40" s="52">
        <v>2331</v>
      </c>
      <c r="B40" s="12" t="s">
        <v>423</v>
      </c>
      <c r="C40" s="12" t="s">
        <v>398</v>
      </c>
      <c r="D40" s="12" t="s">
        <v>372</v>
      </c>
      <c r="E40" s="12">
        <v>0</v>
      </c>
      <c r="F40" s="12">
        <v>0</v>
      </c>
      <c r="G40" s="12">
        <v>100</v>
      </c>
      <c r="H40" s="12">
        <v>0</v>
      </c>
      <c r="I40" s="12" t="s">
        <v>401</v>
      </c>
      <c r="J40" s="12">
        <v>53.5815</v>
      </c>
      <c r="K40" s="12">
        <v>1</v>
      </c>
      <c r="L40" s="11">
        <f t="shared" si="5"/>
        <v>2331</v>
      </c>
      <c r="M40" s="57" t="s">
        <v>918</v>
      </c>
      <c r="N40" s="110">
        <v>1055</v>
      </c>
      <c r="O40" s="57">
        <v>1053</v>
      </c>
      <c r="P40" s="58">
        <v>40255.645833333336</v>
      </c>
      <c r="Q40" s="59">
        <v>102040042</v>
      </c>
      <c r="R40" s="4">
        <f t="shared" si="3"/>
        <v>49970557025.03735</v>
      </c>
      <c r="S40" s="4">
        <f t="shared" si="3"/>
        <v>0</v>
      </c>
      <c r="T40" s="4">
        <f t="shared" si="4"/>
        <v>49875826111.24582</v>
      </c>
      <c r="U40" s="4">
        <f t="shared" si="4"/>
        <v>0</v>
      </c>
      <c r="V40" s="4"/>
    </row>
    <row r="41" spans="1:22" ht="15.75">
      <c r="A41" s="52">
        <v>2371</v>
      </c>
      <c r="B41" s="12" t="s">
        <v>1145</v>
      </c>
      <c r="C41" s="12" t="s">
        <v>398</v>
      </c>
      <c r="D41" s="12" t="s">
        <v>372</v>
      </c>
      <c r="E41" s="12">
        <v>0</v>
      </c>
      <c r="F41" s="12">
        <v>0</v>
      </c>
      <c r="G41" s="12">
        <v>0</v>
      </c>
      <c r="H41" s="12">
        <v>100</v>
      </c>
      <c r="I41" s="12" t="s">
        <v>401</v>
      </c>
      <c r="J41" s="12">
        <v>41.9612</v>
      </c>
      <c r="K41" s="12">
        <v>1</v>
      </c>
      <c r="L41" s="11">
        <f t="shared" si="5"/>
        <v>2371</v>
      </c>
      <c r="M41" s="57" t="s">
        <v>918</v>
      </c>
      <c r="N41" s="110">
        <v>347000</v>
      </c>
      <c r="O41" s="57">
        <v>340500</v>
      </c>
      <c r="P41" s="58">
        <v>40255.645833333336</v>
      </c>
      <c r="Q41" s="59">
        <v>288072</v>
      </c>
      <c r="R41" s="4">
        <f t="shared" si="3"/>
        <v>0</v>
      </c>
      <c r="S41" s="4">
        <f t="shared" si="3"/>
        <v>58016155581.792</v>
      </c>
      <c r="T41" s="4">
        <f t="shared" si="4"/>
        <v>0</v>
      </c>
      <c r="U41" s="4">
        <f t="shared" si="4"/>
        <v>56929397624.208</v>
      </c>
      <c r="V41" s="4"/>
    </row>
    <row r="42" spans="1:22" ht="15.75">
      <c r="A42" s="52">
        <v>2413</v>
      </c>
      <c r="B42" s="12" t="s">
        <v>87</v>
      </c>
      <c r="C42" s="12" t="s">
        <v>398</v>
      </c>
      <c r="D42" s="12" t="s">
        <v>372</v>
      </c>
      <c r="E42" s="12">
        <v>0</v>
      </c>
      <c r="F42" s="12">
        <v>0</v>
      </c>
      <c r="G42" s="12">
        <v>0</v>
      </c>
      <c r="H42" s="12">
        <v>100</v>
      </c>
      <c r="I42" s="12" t="s">
        <v>401</v>
      </c>
      <c r="J42" s="12">
        <v>68.6598</v>
      </c>
      <c r="K42" s="12">
        <v>1</v>
      </c>
      <c r="L42" s="11">
        <f t="shared" si="5"/>
        <v>2413</v>
      </c>
      <c r="M42" s="57" t="s">
        <v>918</v>
      </c>
      <c r="N42" s="110">
        <v>311000</v>
      </c>
      <c r="O42" s="57">
        <v>314000</v>
      </c>
      <c r="P42" s="58">
        <v>40255.645833333336</v>
      </c>
      <c r="Q42" s="59">
        <v>261696</v>
      </c>
      <c r="R42" s="4">
        <f t="shared" si="3"/>
        <v>0</v>
      </c>
      <c r="S42" s="4">
        <f t="shared" si="3"/>
        <v>25506991485.311996</v>
      </c>
      <c r="T42" s="4">
        <f t="shared" si="4"/>
        <v>0</v>
      </c>
      <c r="U42" s="4">
        <f t="shared" si="4"/>
        <v>25753039634.687996</v>
      </c>
      <c r="V42" s="4"/>
    </row>
    <row r="43" spans="1:22" ht="15.75">
      <c r="A43" s="52">
        <v>2432</v>
      </c>
      <c r="B43" s="12" t="s">
        <v>657</v>
      </c>
      <c r="C43" s="12" t="s">
        <v>398</v>
      </c>
      <c r="D43" s="12" t="s">
        <v>372</v>
      </c>
      <c r="E43" s="12">
        <v>0</v>
      </c>
      <c r="F43" s="12">
        <v>0</v>
      </c>
      <c r="G43" s="12">
        <v>0</v>
      </c>
      <c r="H43" s="12">
        <v>100</v>
      </c>
      <c r="I43" s="12" t="s">
        <v>401</v>
      </c>
      <c r="J43" s="12">
        <v>41.9274</v>
      </c>
      <c r="K43" s="12">
        <v>1</v>
      </c>
      <c r="L43" s="11">
        <f t="shared" si="5"/>
        <v>2432</v>
      </c>
      <c r="M43" s="57" t="s">
        <v>918</v>
      </c>
      <c r="N43" s="110">
        <v>702000</v>
      </c>
      <c r="O43" s="57">
        <v>698000</v>
      </c>
      <c r="P43" s="58">
        <v>40255.645833333336</v>
      </c>
      <c r="Q43" s="59">
        <v>485966</v>
      </c>
      <c r="R43" s="4">
        <f t="shared" si="3"/>
        <v>0</v>
      </c>
      <c r="S43" s="4">
        <f t="shared" si="3"/>
        <v>198113590103.832</v>
      </c>
      <c r="T43" s="4">
        <f t="shared" si="4"/>
        <v>0</v>
      </c>
      <c r="U43" s="4">
        <f t="shared" si="4"/>
        <v>196984737738.568</v>
      </c>
      <c r="V43" s="4"/>
    </row>
    <row r="44" spans="1:22" ht="15.75">
      <c r="A44" s="52">
        <v>2466</v>
      </c>
      <c r="B44" s="12" t="s">
        <v>88</v>
      </c>
      <c r="C44" s="12" t="s">
        <v>398</v>
      </c>
      <c r="D44" s="12" t="s">
        <v>372</v>
      </c>
      <c r="E44" s="12">
        <v>0</v>
      </c>
      <c r="F44" s="12">
        <v>0</v>
      </c>
      <c r="G44" s="12">
        <v>71.7725</v>
      </c>
      <c r="H44" s="12">
        <v>28.2275</v>
      </c>
      <c r="I44" s="12" t="s">
        <v>401</v>
      </c>
      <c r="J44" s="12">
        <v>64.3734</v>
      </c>
      <c r="K44" s="12">
        <v>1</v>
      </c>
      <c r="L44" s="11">
        <f t="shared" si="5"/>
        <v>2466</v>
      </c>
      <c r="M44" s="57" t="s">
        <v>918</v>
      </c>
      <c r="N44" s="110">
        <v>61300</v>
      </c>
      <c r="O44" s="57">
        <v>61000</v>
      </c>
      <c r="P44" s="58">
        <v>40255.645833333336</v>
      </c>
      <c r="Q44" s="59">
        <v>1182480</v>
      </c>
      <c r="R44" s="4">
        <f t="shared" si="3"/>
        <v>18534749899.24145</v>
      </c>
      <c r="S44" s="4">
        <f t="shared" si="3"/>
        <v>7289555927.142542</v>
      </c>
      <c r="T44" s="4">
        <f t="shared" si="4"/>
        <v>18444041498.429504</v>
      </c>
      <c r="U44" s="4">
        <f t="shared" si="4"/>
        <v>7253881102.05049</v>
      </c>
      <c r="V44" s="4"/>
    </row>
    <row r="45" spans="1:22" ht="15.75">
      <c r="A45" s="52">
        <v>2579</v>
      </c>
      <c r="B45" s="12" t="s">
        <v>89</v>
      </c>
      <c r="C45" s="12" t="s">
        <v>398</v>
      </c>
      <c r="D45" s="12" t="s">
        <v>415</v>
      </c>
      <c r="E45" s="12">
        <v>0</v>
      </c>
      <c r="F45" s="12">
        <v>0</v>
      </c>
      <c r="G45" s="12">
        <v>100</v>
      </c>
      <c r="H45" s="12">
        <v>0</v>
      </c>
      <c r="I45" s="12" t="s">
        <v>401</v>
      </c>
      <c r="J45" s="12">
        <v>56.7699</v>
      </c>
      <c r="K45" s="12">
        <v>1</v>
      </c>
      <c r="L45" s="11">
        <f t="shared" si="5"/>
        <v>2579</v>
      </c>
      <c r="M45" s="57" t="s">
        <v>918</v>
      </c>
      <c r="N45" s="110">
        <v>1484</v>
      </c>
      <c r="O45" s="57">
        <v>1484</v>
      </c>
      <c r="P45" s="58">
        <v>40255.645833333336</v>
      </c>
      <c r="Q45" s="59">
        <v>111125714</v>
      </c>
      <c r="R45" s="4">
        <f t="shared" si="3"/>
        <v>71290999815.26439</v>
      </c>
      <c r="S45" s="4">
        <f t="shared" si="3"/>
        <v>0</v>
      </c>
      <c r="T45" s="4">
        <f t="shared" si="4"/>
        <v>71290999815.26439</v>
      </c>
      <c r="U45" s="4">
        <f t="shared" si="4"/>
        <v>0</v>
      </c>
      <c r="V45" s="4"/>
    </row>
    <row r="46" spans="1:22" ht="15.75">
      <c r="A46" s="52">
        <v>2590</v>
      </c>
      <c r="B46" s="12" t="s">
        <v>90</v>
      </c>
      <c r="C46" s="12" t="s">
        <v>398</v>
      </c>
      <c r="D46" s="12" t="s">
        <v>415</v>
      </c>
      <c r="E46" s="12">
        <v>0</v>
      </c>
      <c r="F46" s="12">
        <v>0</v>
      </c>
      <c r="G46" s="12">
        <v>100</v>
      </c>
      <c r="H46" s="12">
        <v>0</v>
      </c>
      <c r="I46" s="12" t="s">
        <v>401</v>
      </c>
      <c r="J46" s="12">
        <v>48.5437</v>
      </c>
      <c r="K46" s="12">
        <v>1</v>
      </c>
      <c r="L46" s="11">
        <f t="shared" si="5"/>
        <v>2590</v>
      </c>
      <c r="M46" s="57" t="s">
        <v>918</v>
      </c>
      <c r="N46" s="110">
        <v>3200</v>
      </c>
      <c r="O46" s="57">
        <v>3195</v>
      </c>
      <c r="P46" s="58">
        <v>40255.645833333336</v>
      </c>
      <c r="Q46" s="59">
        <v>16568500</v>
      </c>
      <c r="R46" s="4">
        <f t="shared" si="3"/>
        <v>27281718609.6</v>
      </c>
      <c r="S46" s="4">
        <f t="shared" si="3"/>
        <v>0</v>
      </c>
      <c r="T46" s="4">
        <f t="shared" si="4"/>
        <v>27239090924.2725</v>
      </c>
      <c r="U46" s="4">
        <f t="shared" si="4"/>
        <v>0</v>
      </c>
      <c r="V46" s="4"/>
    </row>
    <row r="47" spans="1:22" ht="15.75">
      <c r="A47" s="52">
        <v>2593</v>
      </c>
      <c r="B47" s="12" t="s">
        <v>658</v>
      </c>
      <c r="C47" s="12" t="s">
        <v>398</v>
      </c>
      <c r="D47" s="12" t="s">
        <v>415</v>
      </c>
      <c r="E47" s="12">
        <v>0</v>
      </c>
      <c r="F47" s="12">
        <v>0</v>
      </c>
      <c r="G47" s="12">
        <v>5.6067</v>
      </c>
      <c r="H47" s="12">
        <v>94.3933</v>
      </c>
      <c r="I47" s="12" t="s">
        <v>401</v>
      </c>
      <c r="J47" s="12">
        <v>45.3669</v>
      </c>
      <c r="K47" s="12">
        <v>1</v>
      </c>
      <c r="L47" s="11">
        <f t="shared" si="5"/>
        <v>2593</v>
      </c>
      <c r="M47" s="57" t="s">
        <v>918</v>
      </c>
      <c r="N47" s="110">
        <v>1363</v>
      </c>
      <c r="O47" s="57">
        <v>1361</v>
      </c>
      <c r="P47" s="58">
        <v>40255.645833333336</v>
      </c>
      <c r="Q47" s="59">
        <v>91212380</v>
      </c>
      <c r="R47" s="4">
        <f t="shared" si="3"/>
        <v>3808139126.4075694</v>
      </c>
      <c r="S47" s="4">
        <f t="shared" si="3"/>
        <v>64113082383.706566</v>
      </c>
      <c r="T47" s="4">
        <f t="shared" si="4"/>
        <v>3802551248.0122538</v>
      </c>
      <c r="U47" s="4">
        <f t="shared" si="4"/>
        <v>64019005960.546326</v>
      </c>
      <c r="V47" s="4"/>
    </row>
    <row r="48" spans="1:22" ht="15.75">
      <c r="A48" s="52">
        <v>2602</v>
      </c>
      <c r="B48" s="12" t="s">
        <v>1146</v>
      </c>
      <c r="C48" s="12" t="s">
        <v>398</v>
      </c>
      <c r="D48" s="12" t="s">
        <v>415</v>
      </c>
      <c r="E48" s="12">
        <v>0</v>
      </c>
      <c r="F48" s="12">
        <v>0</v>
      </c>
      <c r="G48" s="12">
        <v>100</v>
      </c>
      <c r="H48" s="12">
        <v>0</v>
      </c>
      <c r="I48" s="12" t="s">
        <v>401</v>
      </c>
      <c r="J48" s="12">
        <v>46.0054</v>
      </c>
      <c r="K48" s="12">
        <v>1</v>
      </c>
      <c r="L48" s="11">
        <f t="shared" si="5"/>
        <v>2602</v>
      </c>
      <c r="M48" s="57" t="s">
        <v>918</v>
      </c>
      <c r="N48" s="110">
        <v>453</v>
      </c>
      <c r="O48" s="57">
        <v>454</v>
      </c>
      <c r="P48" s="58">
        <v>40255.645833333336</v>
      </c>
      <c r="Q48" s="59">
        <v>173339287</v>
      </c>
      <c r="R48" s="4">
        <f t="shared" si="3"/>
        <v>42398016160.30141</v>
      </c>
      <c r="S48" s="4">
        <f t="shared" si="3"/>
        <v>0</v>
      </c>
      <c r="T48" s="4">
        <f t="shared" si="4"/>
        <v>42491610014.95991</v>
      </c>
      <c r="U48" s="4">
        <f t="shared" si="4"/>
        <v>0</v>
      </c>
      <c r="V48" s="4"/>
    </row>
    <row r="49" spans="1:22" ht="15.75">
      <c r="A49" s="52">
        <v>2607</v>
      </c>
      <c r="B49" s="12" t="s">
        <v>1147</v>
      </c>
      <c r="C49" s="12" t="s">
        <v>398</v>
      </c>
      <c r="D49" s="12" t="s">
        <v>415</v>
      </c>
      <c r="E49" s="12">
        <v>0</v>
      </c>
      <c r="F49" s="12">
        <v>0</v>
      </c>
      <c r="G49" s="12">
        <v>21.0057</v>
      </c>
      <c r="H49" s="12">
        <v>78.9943</v>
      </c>
      <c r="I49" s="12" t="s">
        <v>401</v>
      </c>
      <c r="J49" s="12">
        <v>45.491</v>
      </c>
      <c r="K49" s="12">
        <v>1</v>
      </c>
      <c r="L49" s="11">
        <f t="shared" si="5"/>
        <v>2607</v>
      </c>
      <c r="M49" s="57" t="s">
        <v>918</v>
      </c>
      <c r="N49" s="110">
        <v>1386</v>
      </c>
      <c r="O49" s="57">
        <v>1387</v>
      </c>
      <c r="P49" s="58">
        <v>40255.645833333336</v>
      </c>
      <c r="Q49" s="59">
        <v>87569383</v>
      </c>
      <c r="R49" s="4">
        <f t="shared" si="3"/>
        <v>13896994748.594307</v>
      </c>
      <c r="S49" s="4">
        <f t="shared" si="3"/>
        <v>52261213492.9511</v>
      </c>
      <c r="T49" s="4">
        <f t="shared" si="4"/>
        <v>13907021440.332108</v>
      </c>
      <c r="U49" s="4">
        <f t="shared" si="4"/>
        <v>52298919996.19277</v>
      </c>
      <c r="V49" s="4"/>
    </row>
    <row r="50" spans="1:22" ht="15.75">
      <c r="A50" s="52">
        <v>2664</v>
      </c>
      <c r="B50" s="12" t="s">
        <v>91</v>
      </c>
      <c r="C50" s="12" t="s">
        <v>398</v>
      </c>
      <c r="D50" s="12" t="s">
        <v>370</v>
      </c>
      <c r="E50" s="12">
        <v>0</v>
      </c>
      <c r="F50" s="12">
        <v>0</v>
      </c>
      <c r="G50" s="12">
        <v>100</v>
      </c>
      <c r="H50" s="12">
        <v>0</v>
      </c>
      <c r="I50" s="12" t="s">
        <v>401</v>
      </c>
      <c r="J50" s="12">
        <v>43.3471</v>
      </c>
      <c r="K50" s="12">
        <v>1</v>
      </c>
      <c r="L50" s="11">
        <f t="shared" si="5"/>
        <v>2664</v>
      </c>
      <c r="M50" s="57" t="s">
        <v>918</v>
      </c>
      <c r="N50" s="110">
        <v>1770</v>
      </c>
      <c r="O50" s="57">
        <v>1778</v>
      </c>
      <c r="P50" s="58">
        <v>40255.645833333336</v>
      </c>
      <c r="Q50" s="59">
        <v>24583420</v>
      </c>
      <c r="R50" s="4">
        <f t="shared" si="3"/>
        <v>24651180018.048603</v>
      </c>
      <c r="S50" s="4">
        <f t="shared" si="3"/>
        <v>0</v>
      </c>
      <c r="T50" s="4">
        <f t="shared" si="4"/>
        <v>24762597780.842037</v>
      </c>
      <c r="U50" s="4">
        <f t="shared" si="4"/>
        <v>0</v>
      </c>
      <c r="V50" s="4"/>
    </row>
    <row r="51" spans="1:22" ht="15.75">
      <c r="A51" s="52">
        <v>2670</v>
      </c>
      <c r="B51" s="12" t="s">
        <v>659</v>
      </c>
      <c r="C51" s="12" t="s">
        <v>398</v>
      </c>
      <c r="D51" s="12" t="s">
        <v>370</v>
      </c>
      <c r="E51" s="12">
        <v>0</v>
      </c>
      <c r="F51" s="12">
        <v>0</v>
      </c>
      <c r="G51" s="12">
        <v>0</v>
      </c>
      <c r="H51" s="12">
        <v>100</v>
      </c>
      <c r="I51" s="12" t="s">
        <v>401</v>
      </c>
      <c r="J51" s="12">
        <v>71.7455</v>
      </c>
      <c r="K51" s="12">
        <v>1</v>
      </c>
      <c r="L51" s="11">
        <f t="shared" si="5"/>
        <v>2670</v>
      </c>
      <c r="M51" s="57" t="s">
        <v>918</v>
      </c>
      <c r="N51" s="110">
        <v>3050</v>
      </c>
      <c r="O51" s="57">
        <v>3015</v>
      </c>
      <c r="P51" s="58">
        <v>40255.645833333336</v>
      </c>
      <c r="Q51" s="59">
        <v>83627318</v>
      </c>
      <c r="R51" s="4">
        <f t="shared" si="3"/>
        <v>0</v>
      </c>
      <c r="S51" s="4">
        <f t="shared" si="3"/>
        <v>72066865721.1455</v>
      </c>
      <c r="T51" s="4">
        <f t="shared" si="4"/>
        <v>0</v>
      </c>
      <c r="U51" s="4">
        <f t="shared" si="4"/>
        <v>71239868901.39464</v>
      </c>
      <c r="V51" s="4"/>
    </row>
    <row r="52" spans="1:22" ht="15.75">
      <c r="A52" s="52">
        <v>2681</v>
      </c>
      <c r="B52" s="12" t="s">
        <v>92</v>
      </c>
      <c r="C52" s="12" t="s">
        <v>398</v>
      </c>
      <c r="D52" s="12" t="s">
        <v>370</v>
      </c>
      <c r="E52" s="12">
        <v>0</v>
      </c>
      <c r="F52" s="12">
        <v>0</v>
      </c>
      <c r="G52" s="12">
        <v>0</v>
      </c>
      <c r="H52" s="12">
        <v>100</v>
      </c>
      <c r="I52" s="12" t="s">
        <v>401</v>
      </c>
      <c r="J52" s="12">
        <v>43.2961</v>
      </c>
      <c r="K52" s="12">
        <v>1</v>
      </c>
      <c r="L52" s="11">
        <f t="shared" si="5"/>
        <v>2681</v>
      </c>
      <c r="M52" s="57" t="s">
        <v>918</v>
      </c>
      <c r="N52" s="110">
        <v>91300</v>
      </c>
      <c r="O52" s="57">
        <v>91700</v>
      </c>
      <c r="P52" s="58">
        <v>40255.645833333336</v>
      </c>
      <c r="Q52" s="59">
        <v>584944</v>
      </c>
      <c r="R52" s="4">
        <f t="shared" si="3"/>
        <v>0</v>
      </c>
      <c r="S52" s="4">
        <f t="shared" si="3"/>
        <v>30282937352.500793</v>
      </c>
      <c r="T52" s="4">
        <f t="shared" si="4"/>
        <v>0</v>
      </c>
      <c r="U52" s="4">
        <f t="shared" si="4"/>
        <v>30415611776.827194</v>
      </c>
      <c r="V52" s="4"/>
    </row>
    <row r="53" spans="1:22" ht="15.75">
      <c r="A53" s="52">
        <v>2730</v>
      </c>
      <c r="B53" s="12" t="s">
        <v>665</v>
      </c>
      <c r="C53" s="12" t="s">
        <v>398</v>
      </c>
      <c r="D53" s="12" t="s">
        <v>370</v>
      </c>
      <c r="E53" s="12">
        <v>0</v>
      </c>
      <c r="F53" s="12">
        <v>0</v>
      </c>
      <c r="G53" s="12">
        <v>100</v>
      </c>
      <c r="H53" s="12">
        <v>0</v>
      </c>
      <c r="I53" s="12" t="s">
        <v>401</v>
      </c>
      <c r="J53" s="12">
        <v>53.9181</v>
      </c>
      <c r="K53" s="12">
        <v>1</v>
      </c>
      <c r="L53" s="11">
        <f t="shared" si="5"/>
        <v>2730</v>
      </c>
      <c r="M53" s="57" t="s">
        <v>918</v>
      </c>
      <c r="N53" s="110">
        <v>966</v>
      </c>
      <c r="O53" s="57">
        <v>977</v>
      </c>
      <c r="P53" s="58">
        <v>40255.645833333336</v>
      </c>
      <c r="Q53" s="59">
        <v>105665636</v>
      </c>
      <c r="R53" s="4">
        <f t="shared" si="3"/>
        <v>47037179803.543945</v>
      </c>
      <c r="S53" s="4">
        <f t="shared" si="3"/>
        <v>0</v>
      </c>
      <c r="T53" s="4">
        <f t="shared" si="4"/>
        <v>47572799863.41867</v>
      </c>
      <c r="U53" s="4">
        <f t="shared" si="4"/>
        <v>0</v>
      </c>
      <c r="V53" s="4"/>
    </row>
    <row r="54" spans="1:22" ht="15.75">
      <c r="A54" s="52">
        <v>2766</v>
      </c>
      <c r="B54" s="12" t="s">
        <v>93</v>
      </c>
      <c r="C54" s="12" t="s">
        <v>404</v>
      </c>
      <c r="D54" s="12" t="s">
        <v>664</v>
      </c>
      <c r="E54" s="12">
        <v>0</v>
      </c>
      <c r="F54" s="12">
        <v>0</v>
      </c>
      <c r="G54" s="12">
        <v>0</v>
      </c>
      <c r="H54" s="12">
        <v>100</v>
      </c>
      <c r="I54" s="12" t="s">
        <v>401</v>
      </c>
      <c r="J54" s="12">
        <v>34.2472</v>
      </c>
      <c r="K54" s="12">
        <v>1</v>
      </c>
      <c r="L54" s="11">
        <f t="shared" si="5"/>
        <v>2766</v>
      </c>
      <c r="M54" s="57" t="s">
        <v>920</v>
      </c>
      <c r="N54" s="110">
        <v>246500</v>
      </c>
      <c r="O54" s="57">
        <v>243900</v>
      </c>
      <c r="P54" s="58">
        <v>40255.645833333336</v>
      </c>
      <c r="Q54" s="59">
        <v>150095</v>
      </c>
      <c r="R54" s="4">
        <f t="shared" si="3"/>
        <v>0</v>
      </c>
      <c r="S54" s="4">
        <f t="shared" si="3"/>
        <v>24327495461.940002</v>
      </c>
      <c r="T54" s="4">
        <f t="shared" si="4"/>
        <v>0</v>
      </c>
      <c r="U54" s="4">
        <f t="shared" si="4"/>
        <v>24070897132.524002</v>
      </c>
      <c r="V54" s="4"/>
    </row>
    <row r="55" spans="1:22" ht="15.75">
      <c r="A55" s="52">
        <v>2810</v>
      </c>
      <c r="B55" s="12" t="s">
        <v>666</v>
      </c>
      <c r="C55" s="12" t="s">
        <v>398</v>
      </c>
      <c r="D55" s="12" t="s">
        <v>415</v>
      </c>
      <c r="E55" s="12">
        <v>0</v>
      </c>
      <c r="F55" s="12">
        <v>0</v>
      </c>
      <c r="G55" s="12">
        <v>100</v>
      </c>
      <c r="H55" s="12">
        <v>0</v>
      </c>
      <c r="I55" s="12" t="s">
        <v>401</v>
      </c>
      <c r="J55" s="12">
        <v>46.8965</v>
      </c>
      <c r="K55" s="12">
        <v>1</v>
      </c>
      <c r="L55" s="11">
        <f t="shared" si="5"/>
        <v>2810</v>
      </c>
      <c r="M55" s="57" t="s">
        <v>918</v>
      </c>
      <c r="N55" s="110">
        <v>1336</v>
      </c>
      <c r="O55" s="57">
        <v>1340</v>
      </c>
      <c r="P55" s="58">
        <v>40255.645833333336</v>
      </c>
      <c r="Q55" s="59">
        <v>110878734</v>
      </c>
      <c r="R55" s="4">
        <f t="shared" si="3"/>
        <v>78664332648.94583</v>
      </c>
      <c r="S55" s="4">
        <f t="shared" si="3"/>
        <v>0</v>
      </c>
      <c r="T55" s="4">
        <f t="shared" si="4"/>
        <v>78899854602.98459</v>
      </c>
      <c r="U55" s="4">
        <f t="shared" si="4"/>
        <v>0</v>
      </c>
      <c r="V55" s="4"/>
    </row>
    <row r="56" spans="1:22" ht="15.75">
      <c r="A56" s="52">
        <v>2871</v>
      </c>
      <c r="B56" s="12" t="s">
        <v>667</v>
      </c>
      <c r="C56" s="12" t="s">
        <v>398</v>
      </c>
      <c r="D56" s="12" t="s">
        <v>415</v>
      </c>
      <c r="E56" s="12">
        <v>0</v>
      </c>
      <c r="F56" s="12">
        <v>0</v>
      </c>
      <c r="G56" s="12">
        <v>100</v>
      </c>
      <c r="H56" s="12">
        <v>0</v>
      </c>
      <c r="I56" s="12" t="s">
        <v>401</v>
      </c>
      <c r="J56" s="12">
        <v>36.0472</v>
      </c>
      <c r="K56" s="12">
        <v>1</v>
      </c>
      <c r="L56" s="11">
        <f t="shared" si="5"/>
        <v>2871</v>
      </c>
      <c r="M56" s="57" t="s">
        <v>918</v>
      </c>
      <c r="N56" s="110">
        <v>354</v>
      </c>
      <c r="O56" s="57">
        <v>355</v>
      </c>
      <c r="P56" s="58">
        <v>40255.645833333336</v>
      </c>
      <c r="Q56" s="59">
        <v>310851065</v>
      </c>
      <c r="R56" s="4">
        <f t="shared" si="3"/>
        <v>70374477803.65129</v>
      </c>
      <c r="S56" s="4">
        <f t="shared" si="3"/>
        <v>0</v>
      </c>
      <c r="T56" s="4">
        <f t="shared" si="4"/>
        <v>70573275763.54861</v>
      </c>
      <c r="U56" s="4">
        <f t="shared" si="4"/>
        <v>0</v>
      </c>
      <c r="V56" s="4"/>
    </row>
    <row r="57" spans="1:22" ht="15.75">
      <c r="A57" s="52">
        <v>3002</v>
      </c>
      <c r="B57" s="12" t="s">
        <v>669</v>
      </c>
      <c r="C57" s="12" t="s">
        <v>398</v>
      </c>
      <c r="D57" s="12" t="s">
        <v>668</v>
      </c>
      <c r="E57" s="12">
        <v>0</v>
      </c>
      <c r="F57" s="12">
        <v>0</v>
      </c>
      <c r="G57" s="12">
        <v>100</v>
      </c>
      <c r="H57" s="12">
        <v>0</v>
      </c>
      <c r="I57" s="12" t="s">
        <v>401</v>
      </c>
      <c r="J57" s="12">
        <v>35.8846</v>
      </c>
      <c r="K57" s="12">
        <v>1</v>
      </c>
      <c r="L57" s="11">
        <f t="shared" si="5"/>
        <v>3002</v>
      </c>
      <c r="M57" s="57" t="s">
        <v>918</v>
      </c>
      <c r="N57" s="110">
        <v>336</v>
      </c>
      <c r="O57" s="57">
        <v>336</v>
      </c>
      <c r="P57" s="58">
        <v>40255.645833333336</v>
      </c>
      <c r="Q57" s="59">
        <v>209935165</v>
      </c>
      <c r="R57" s="4">
        <f t="shared" si="3"/>
        <v>45225858982.21775</v>
      </c>
      <c r="S57" s="4">
        <f t="shared" si="3"/>
        <v>0</v>
      </c>
      <c r="T57" s="4">
        <f t="shared" si="4"/>
        <v>45225858982.21775</v>
      </c>
      <c r="U57" s="4">
        <f t="shared" si="4"/>
        <v>0</v>
      </c>
      <c r="V57" s="4"/>
    </row>
    <row r="58" spans="1:22" ht="15.75">
      <c r="A58" s="52">
        <v>3050</v>
      </c>
      <c r="B58" s="12" t="s">
        <v>670</v>
      </c>
      <c r="C58" s="12" t="s">
        <v>398</v>
      </c>
      <c r="D58" s="12" t="s">
        <v>370</v>
      </c>
      <c r="E58" s="12">
        <v>0</v>
      </c>
      <c r="F58" s="12">
        <v>0</v>
      </c>
      <c r="G58" s="12">
        <v>100</v>
      </c>
      <c r="H58" s="12">
        <v>0</v>
      </c>
      <c r="I58" s="12" t="s">
        <v>401</v>
      </c>
      <c r="J58" s="12">
        <v>58.4591</v>
      </c>
      <c r="K58" s="12">
        <v>1</v>
      </c>
      <c r="L58" s="11">
        <f t="shared" si="5"/>
        <v>3050</v>
      </c>
      <c r="M58" s="57" t="s">
        <v>918</v>
      </c>
      <c r="N58" s="110">
        <v>525</v>
      </c>
      <c r="O58" s="57">
        <v>527</v>
      </c>
      <c r="P58" s="58">
        <v>40255.645833333336</v>
      </c>
      <c r="Q58" s="59">
        <v>159439199</v>
      </c>
      <c r="R58" s="4">
        <f t="shared" si="3"/>
        <v>34772051064.13027</v>
      </c>
      <c r="S58" s="4">
        <f t="shared" si="3"/>
        <v>0</v>
      </c>
      <c r="T58" s="4">
        <f t="shared" si="4"/>
        <v>34904516020.56506</v>
      </c>
      <c r="U58" s="4">
        <f t="shared" si="4"/>
        <v>0</v>
      </c>
      <c r="V58" s="4"/>
    </row>
    <row r="59" spans="1:22" ht="15.75">
      <c r="A59" s="52">
        <v>3087</v>
      </c>
      <c r="B59" s="12" t="s">
        <v>671</v>
      </c>
      <c r="C59" s="12" t="s">
        <v>398</v>
      </c>
      <c r="D59" s="12" t="s">
        <v>370</v>
      </c>
      <c r="E59" s="12">
        <v>0</v>
      </c>
      <c r="F59" s="12">
        <v>0</v>
      </c>
      <c r="G59" s="12">
        <v>100</v>
      </c>
      <c r="H59" s="12">
        <v>0</v>
      </c>
      <c r="I59" s="12" t="s">
        <v>401</v>
      </c>
      <c r="J59" s="12">
        <v>43.9911</v>
      </c>
      <c r="K59" s="12">
        <v>1</v>
      </c>
      <c r="L59" s="11">
        <f t="shared" si="5"/>
        <v>3087</v>
      </c>
      <c r="M59" s="57" t="s">
        <v>918</v>
      </c>
      <c r="N59" s="110">
        <v>1176</v>
      </c>
      <c r="O59" s="57">
        <v>1160</v>
      </c>
      <c r="P59" s="58">
        <v>40255.645833333336</v>
      </c>
      <c r="Q59" s="59">
        <v>50609761</v>
      </c>
      <c r="R59" s="4">
        <f t="shared" si="3"/>
        <v>33334861224.1853</v>
      </c>
      <c r="S59" s="4">
        <f t="shared" si="3"/>
        <v>0</v>
      </c>
      <c r="T59" s="4">
        <f t="shared" si="4"/>
        <v>32881325697.325638</v>
      </c>
      <c r="U59" s="4">
        <f t="shared" si="4"/>
        <v>0</v>
      </c>
      <c r="V59" s="4"/>
    </row>
    <row r="60" spans="1:22" ht="15.75">
      <c r="A60" s="52">
        <v>3088</v>
      </c>
      <c r="B60" s="12" t="s">
        <v>672</v>
      </c>
      <c r="C60" s="12" t="s">
        <v>398</v>
      </c>
      <c r="D60" s="12" t="s">
        <v>370</v>
      </c>
      <c r="E60" s="12">
        <v>0</v>
      </c>
      <c r="F60" s="12">
        <v>0</v>
      </c>
      <c r="G60" s="12">
        <v>77.6957</v>
      </c>
      <c r="H60" s="12">
        <v>22.3043</v>
      </c>
      <c r="I60" s="12" t="s">
        <v>401</v>
      </c>
      <c r="J60" s="12">
        <v>44.652</v>
      </c>
      <c r="K60" s="12">
        <v>1</v>
      </c>
      <c r="L60" s="11">
        <f t="shared" si="5"/>
        <v>3088</v>
      </c>
      <c r="M60" s="57" t="s">
        <v>918</v>
      </c>
      <c r="N60" s="110">
        <v>2056</v>
      </c>
      <c r="O60" s="57">
        <v>2043</v>
      </c>
      <c r="P60" s="58">
        <v>40255.645833333336</v>
      </c>
      <c r="Q60" s="59">
        <v>53579014</v>
      </c>
      <c r="R60" s="4">
        <f t="shared" si="3"/>
        <v>47371457115.713005</v>
      </c>
      <c r="S60" s="4">
        <f t="shared" si="3"/>
        <v>13599043331.175312</v>
      </c>
      <c r="T60" s="4">
        <f t="shared" si="4"/>
        <v>47071929419.94245</v>
      </c>
      <c r="U60" s="4">
        <f t="shared" si="4"/>
        <v>13513057162.25251</v>
      </c>
      <c r="V60" s="4"/>
    </row>
    <row r="61" spans="1:22" ht="15.75">
      <c r="A61" s="52">
        <v>3098</v>
      </c>
      <c r="B61" s="12" t="s">
        <v>94</v>
      </c>
      <c r="C61" s="12" t="s">
        <v>398</v>
      </c>
      <c r="D61" s="12" t="s">
        <v>370</v>
      </c>
      <c r="E61" s="12">
        <v>0</v>
      </c>
      <c r="F61" s="12">
        <v>0</v>
      </c>
      <c r="G61" s="12">
        <v>93.0613</v>
      </c>
      <c r="H61" s="12">
        <v>6.9387</v>
      </c>
      <c r="I61" s="12" t="s">
        <v>401</v>
      </c>
      <c r="J61" s="12">
        <v>47.0007</v>
      </c>
      <c r="K61" s="12">
        <v>1</v>
      </c>
      <c r="L61" s="11">
        <f t="shared" si="5"/>
        <v>3098</v>
      </c>
      <c r="M61" s="57" t="s">
        <v>918</v>
      </c>
      <c r="N61" s="110">
        <v>1608</v>
      </c>
      <c r="O61" s="57">
        <v>1647</v>
      </c>
      <c r="P61" s="58">
        <v>40255.645833333336</v>
      </c>
      <c r="Q61" s="59">
        <v>19922156</v>
      </c>
      <c r="R61" s="4">
        <f t="shared" si="3"/>
        <v>15800165264.089624</v>
      </c>
      <c r="S61" s="4">
        <f t="shared" si="3"/>
        <v>1178068721.5624397</v>
      </c>
      <c r="T61" s="4">
        <f t="shared" si="4"/>
        <v>16183378227.584335</v>
      </c>
      <c r="U61" s="4">
        <f t="shared" si="4"/>
        <v>1206641283.8391407</v>
      </c>
      <c r="V61" s="4"/>
    </row>
    <row r="62" spans="1:22" ht="15.75">
      <c r="A62" s="52">
        <v>3101</v>
      </c>
      <c r="B62" s="12" t="s">
        <v>673</v>
      </c>
      <c r="C62" s="12" t="s">
        <v>398</v>
      </c>
      <c r="D62" s="12" t="s">
        <v>668</v>
      </c>
      <c r="E62" s="12">
        <v>0</v>
      </c>
      <c r="F62" s="12">
        <v>0</v>
      </c>
      <c r="G62" s="12">
        <v>57.751</v>
      </c>
      <c r="H62" s="12">
        <v>42.249</v>
      </c>
      <c r="I62" s="12" t="s">
        <v>401</v>
      </c>
      <c r="J62" s="12">
        <v>21.8197</v>
      </c>
      <c r="K62" s="12">
        <v>1</v>
      </c>
      <c r="L62" s="11">
        <f t="shared" si="5"/>
        <v>3101</v>
      </c>
      <c r="M62" s="57" t="s">
        <v>918</v>
      </c>
      <c r="N62" s="110">
        <v>147</v>
      </c>
      <c r="O62" s="57">
        <v>148</v>
      </c>
      <c r="P62" s="58">
        <v>40255.645833333336</v>
      </c>
      <c r="Q62" s="59">
        <v>750487922</v>
      </c>
      <c r="R62" s="4">
        <f t="shared" si="3"/>
        <v>49810153879.93321</v>
      </c>
      <c r="S62" s="4">
        <f t="shared" si="3"/>
        <v>36439701325.9216</v>
      </c>
      <c r="T62" s="4">
        <f t="shared" si="4"/>
        <v>50148998464.150444</v>
      </c>
      <c r="U62" s="4">
        <f t="shared" si="4"/>
        <v>36687590450.58773</v>
      </c>
      <c r="V62" s="4"/>
    </row>
    <row r="63" spans="1:22" ht="15.75">
      <c r="A63" s="52">
        <v>3103</v>
      </c>
      <c r="B63" s="12" t="s">
        <v>96</v>
      </c>
      <c r="C63" s="12" t="s">
        <v>398</v>
      </c>
      <c r="D63" s="12" t="s">
        <v>668</v>
      </c>
      <c r="E63" s="12">
        <v>0</v>
      </c>
      <c r="F63" s="12">
        <v>0</v>
      </c>
      <c r="G63" s="12">
        <v>0</v>
      </c>
      <c r="H63" s="12">
        <v>100</v>
      </c>
      <c r="I63" s="12" t="s">
        <v>401</v>
      </c>
      <c r="J63" s="12">
        <v>20.6911</v>
      </c>
      <c r="K63" s="12">
        <v>1</v>
      </c>
      <c r="L63" s="11">
        <f t="shared" si="5"/>
        <v>3103</v>
      </c>
      <c r="M63" s="57" t="s">
        <v>918</v>
      </c>
      <c r="N63" s="110">
        <v>75</v>
      </c>
      <c r="O63" s="57">
        <v>76</v>
      </c>
      <c r="P63" s="58">
        <v>40255.645833333336</v>
      </c>
      <c r="Q63" s="59">
        <v>475969000</v>
      </c>
      <c r="R63" s="4">
        <f t="shared" si="3"/>
        <v>0</v>
      </c>
      <c r="S63" s="4">
        <f t="shared" si="3"/>
        <v>28311433368.075</v>
      </c>
      <c r="T63" s="4">
        <f t="shared" si="4"/>
        <v>0</v>
      </c>
      <c r="U63" s="4">
        <f t="shared" si="4"/>
        <v>28688919146.315994</v>
      </c>
      <c r="V63" s="4"/>
    </row>
    <row r="64" spans="1:22" ht="15.75">
      <c r="A64" s="52">
        <v>3106</v>
      </c>
      <c r="B64" s="12" t="s">
        <v>97</v>
      </c>
      <c r="C64" s="12" t="s">
        <v>398</v>
      </c>
      <c r="D64" s="12" t="s">
        <v>668</v>
      </c>
      <c r="E64" s="12">
        <v>0</v>
      </c>
      <c r="F64" s="12">
        <v>0</v>
      </c>
      <c r="G64" s="12">
        <v>100</v>
      </c>
      <c r="H64" s="12">
        <v>0</v>
      </c>
      <c r="I64" s="12" t="s">
        <v>401</v>
      </c>
      <c r="J64" s="12">
        <v>29.0182</v>
      </c>
      <c r="K64" s="12">
        <v>1</v>
      </c>
      <c r="L64" s="11">
        <f t="shared" si="5"/>
        <v>3106</v>
      </c>
      <c r="M64" s="57" t="s">
        <v>918</v>
      </c>
      <c r="N64" s="110">
        <v>162</v>
      </c>
      <c r="O64" s="57">
        <v>162</v>
      </c>
      <c r="P64" s="58">
        <v>40255.645833333336</v>
      </c>
      <c r="Q64" s="59">
        <v>246939284</v>
      </c>
      <c r="R64" s="4">
        <f t="shared" si="3"/>
        <v>28395675687.830544</v>
      </c>
      <c r="S64" s="4">
        <f t="shared" si="3"/>
        <v>0</v>
      </c>
      <c r="T64" s="4">
        <f t="shared" si="4"/>
        <v>28395675687.830544</v>
      </c>
      <c r="U64" s="4">
        <f t="shared" si="4"/>
        <v>0</v>
      </c>
      <c r="V64" s="4"/>
    </row>
    <row r="65" spans="1:22" ht="15.75">
      <c r="A65" s="52">
        <v>3107</v>
      </c>
      <c r="B65" s="12" t="s">
        <v>98</v>
      </c>
      <c r="C65" s="12" t="s">
        <v>398</v>
      </c>
      <c r="D65" s="12" t="s">
        <v>664</v>
      </c>
      <c r="E65" s="12">
        <v>0</v>
      </c>
      <c r="F65" s="12">
        <v>0</v>
      </c>
      <c r="G65" s="12">
        <v>0</v>
      </c>
      <c r="H65" s="12">
        <v>100</v>
      </c>
      <c r="I65" s="12" t="s">
        <v>401</v>
      </c>
      <c r="J65" s="12">
        <v>13.6646</v>
      </c>
      <c r="K65" s="12">
        <v>1</v>
      </c>
      <c r="L65" s="11">
        <f t="shared" si="5"/>
        <v>3107</v>
      </c>
      <c r="M65" s="57" t="s">
        <v>918</v>
      </c>
      <c r="N65" s="110">
        <v>193</v>
      </c>
      <c r="O65" s="57">
        <v>195</v>
      </c>
      <c r="P65" s="58">
        <v>40255.645833333336</v>
      </c>
      <c r="Q65" s="59">
        <v>183397488</v>
      </c>
      <c r="R65" s="4">
        <f t="shared" si="3"/>
        <v>0</v>
      </c>
      <c r="S65" s="4">
        <f t="shared" si="3"/>
        <v>30559032286.967133</v>
      </c>
      <c r="T65" s="4">
        <f t="shared" si="4"/>
        <v>0</v>
      </c>
      <c r="U65" s="4">
        <f t="shared" si="4"/>
        <v>30875706196.676636</v>
      </c>
      <c r="V65" s="4"/>
    </row>
    <row r="66" spans="1:22" ht="15.75">
      <c r="A66" s="52">
        <v>3110</v>
      </c>
      <c r="B66" s="12" t="s">
        <v>674</v>
      </c>
      <c r="C66" s="12" t="s">
        <v>398</v>
      </c>
      <c r="D66" s="12" t="s">
        <v>675</v>
      </c>
      <c r="E66" s="12">
        <v>0</v>
      </c>
      <c r="F66" s="12">
        <v>0</v>
      </c>
      <c r="G66" s="12">
        <v>100</v>
      </c>
      <c r="H66" s="12">
        <v>0</v>
      </c>
      <c r="I66" s="12" t="s">
        <v>401</v>
      </c>
      <c r="J66" s="12">
        <v>26.6737</v>
      </c>
      <c r="K66" s="12">
        <v>1</v>
      </c>
      <c r="L66" s="11">
        <f t="shared" si="5"/>
        <v>3110</v>
      </c>
      <c r="M66" s="57" t="s">
        <v>918</v>
      </c>
      <c r="N66" s="110">
        <v>197</v>
      </c>
      <c r="O66" s="57">
        <v>196</v>
      </c>
      <c r="P66" s="58">
        <v>40255.645833333336</v>
      </c>
      <c r="Q66" s="59">
        <v>247677560</v>
      </c>
      <c r="R66" s="4">
        <f t="shared" si="3"/>
        <v>35777719763.62116</v>
      </c>
      <c r="S66" s="4">
        <f t="shared" si="3"/>
        <v>0</v>
      </c>
      <c r="T66" s="4">
        <f t="shared" si="4"/>
        <v>35596106972.94288</v>
      </c>
      <c r="U66" s="4">
        <f t="shared" si="4"/>
        <v>0</v>
      </c>
      <c r="V66" s="4"/>
    </row>
    <row r="67" spans="1:22" ht="15.75">
      <c r="A67" s="52">
        <v>3116</v>
      </c>
      <c r="B67" s="12" t="s">
        <v>676</v>
      </c>
      <c r="C67" s="12" t="s">
        <v>398</v>
      </c>
      <c r="D67" s="12" t="s">
        <v>677</v>
      </c>
      <c r="E67" s="12">
        <v>0</v>
      </c>
      <c r="F67" s="12">
        <v>0</v>
      </c>
      <c r="G67" s="12">
        <v>0</v>
      </c>
      <c r="H67" s="12">
        <v>100</v>
      </c>
      <c r="I67" s="12" t="s">
        <v>401</v>
      </c>
      <c r="J67" s="12">
        <v>74.9674</v>
      </c>
      <c r="K67" s="12">
        <v>1</v>
      </c>
      <c r="L67" s="11">
        <f t="shared" si="5"/>
        <v>3116</v>
      </c>
      <c r="M67" s="57" t="s">
        <v>918</v>
      </c>
      <c r="N67" s="110">
        <v>1664</v>
      </c>
      <c r="O67" s="57">
        <v>1683</v>
      </c>
      <c r="P67" s="58">
        <v>40255.645833333336</v>
      </c>
      <c r="Q67" s="59">
        <v>187665738</v>
      </c>
      <c r="R67" s="4">
        <f t="shared" si="3"/>
        <v>0</v>
      </c>
      <c r="S67" s="4">
        <f t="shared" si="3"/>
        <v>78170748914.89844</v>
      </c>
      <c r="T67" s="4">
        <f t="shared" si="4"/>
        <v>0</v>
      </c>
      <c r="U67" s="4">
        <f t="shared" si="4"/>
        <v>79063323571.9796</v>
      </c>
      <c r="V67" s="4"/>
    </row>
    <row r="68" spans="1:22" ht="15.75">
      <c r="A68" s="52">
        <v>3201</v>
      </c>
      <c r="B68" s="12" t="s">
        <v>678</v>
      </c>
      <c r="C68" s="12" t="s">
        <v>398</v>
      </c>
      <c r="D68" s="12" t="s">
        <v>668</v>
      </c>
      <c r="E68" s="12">
        <v>0</v>
      </c>
      <c r="F68" s="12">
        <v>0</v>
      </c>
      <c r="G68" s="12">
        <v>100</v>
      </c>
      <c r="H68" s="12">
        <v>0</v>
      </c>
      <c r="I68" s="12" t="s">
        <v>401</v>
      </c>
      <c r="J68" s="12">
        <v>34.0578</v>
      </c>
      <c r="K68" s="12">
        <v>1</v>
      </c>
      <c r="L68" s="11">
        <f t="shared" si="5"/>
        <v>3201</v>
      </c>
      <c r="M68" s="57" t="s">
        <v>918</v>
      </c>
      <c r="N68" s="110">
        <v>669</v>
      </c>
      <c r="O68" s="57">
        <v>670</v>
      </c>
      <c r="P68" s="58">
        <v>40255.645833333336</v>
      </c>
      <c r="Q68" s="59">
        <v>88478858</v>
      </c>
      <c r="R68" s="4">
        <f t="shared" si="3"/>
        <v>39032741779.55085</v>
      </c>
      <c r="S68" s="4">
        <f t="shared" si="3"/>
        <v>0</v>
      </c>
      <c r="T68" s="4">
        <f t="shared" si="4"/>
        <v>39091086685.05093</v>
      </c>
      <c r="U68" s="4">
        <f t="shared" si="4"/>
        <v>0</v>
      </c>
      <c r="V68" s="4"/>
    </row>
    <row r="69" spans="1:22" ht="15.75">
      <c r="A69" s="52">
        <v>3332</v>
      </c>
      <c r="B69" s="12" t="s">
        <v>99</v>
      </c>
      <c r="C69" s="12" t="s">
        <v>398</v>
      </c>
      <c r="D69" s="12" t="s">
        <v>664</v>
      </c>
      <c r="E69" s="12">
        <v>0</v>
      </c>
      <c r="F69" s="12">
        <v>0</v>
      </c>
      <c r="G69" s="12">
        <v>100</v>
      </c>
      <c r="H69" s="12">
        <v>0</v>
      </c>
      <c r="I69" s="12" t="s">
        <v>401</v>
      </c>
      <c r="J69" s="12">
        <v>60.739</v>
      </c>
      <c r="K69" s="12">
        <v>1</v>
      </c>
      <c r="L69" s="11">
        <f t="shared" si="5"/>
        <v>3332</v>
      </c>
      <c r="M69" s="57" t="s">
        <v>918</v>
      </c>
      <c r="N69" s="110">
        <v>390</v>
      </c>
      <c r="O69" s="57">
        <v>381</v>
      </c>
      <c r="P69" s="58">
        <v>40255.645833333336</v>
      </c>
      <c r="Q69" s="59">
        <v>236777704</v>
      </c>
      <c r="R69" s="4">
        <f t="shared" si="3"/>
        <v>36254904803.301605</v>
      </c>
      <c r="S69" s="4">
        <f t="shared" si="3"/>
        <v>0</v>
      </c>
      <c r="T69" s="4">
        <f t="shared" si="4"/>
        <v>35418253153.994644</v>
      </c>
      <c r="U69" s="4">
        <f t="shared" si="4"/>
        <v>0</v>
      </c>
      <c r="V69" s="4"/>
    </row>
    <row r="70" spans="1:22" ht="15.75">
      <c r="A70" s="52">
        <v>3337</v>
      </c>
      <c r="B70" s="12" t="s">
        <v>679</v>
      </c>
      <c r="C70" s="12" t="s">
        <v>398</v>
      </c>
      <c r="D70" s="12" t="s">
        <v>370</v>
      </c>
      <c r="E70" s="12">
        <v>0</v>
      </c>
      <c r="F70" s="12">
        <v>0</v>
      </c>
      <c r="G70" s="12">
        <v>100</v>
      </c>
      <c r="H70" s="12">
        <v>0</v>
      </c>
      <c r="I70" s="12" t="s">
        <v>401</v>
      </c>
      <c r="J70" s="12">
        <v>61.4983</v>
      </c>
      <c r="K70" s="12">
        <v>1</v>
      </c>
      <c r="L70" s="11">
        <f t="shared" si="5"/>
        <v>3337</v>
      </c>
      <c r="M70" s="57" t="s">
        <v>918</v>
      </c>
      <c r="N70" s="110">
        <v>1152</v>
      </c>
      <c r="O70" s="57">
        <v>1144</v>
      </c>
      <c r="P70" s="58">
        <v>40255.645833333336</v>
      </c>
      <c r="Q70" s="59">
        <v>86183226</v>
      </c>
      <c r="R70" s="4">
        <f t="shared" si="3"/>
        <v>38225672207.81798</v>
      </c>
      <c r="S70" s="4">
        <f t="shared" si="3"/>
        <v>0</v>
      </c>
      <c r="T70" s="4">
        <f t="shared" si="4"/>
        <v>37960216150.81925</v>
      </c>
      <c r="U70" s="4">
        <f t="shared" si="4"/>
        <v>0</v>
      </c>
      <c r="V70" s="4"/>
    </row>
    <row r="71" spans="1:22" ht="15.75">
      <c r="A71" s="52">
        <v>3391</v>
      </c>
      <c r="B71" s="12" t="s">
        <v>680</v>
      </c>
      <c r="C71" s="12" t="s">
        <v>398</v>
      </c>
      <c r="D71" s="12" t="s">
        <v>370</v>
      </c>
      <c r="E71" s="12">
        <v>0</v>
      </c>
      <c r="F71" s="12">
        <v>0</v>
      </c>
      <c r="G71" s="12">
        <v>59.4846</v>
      </c>
      <c r="H71" s="12">
        <v>40.5154</v>
      </c>
      <c r="I71" s="12" t="s">
        <v>401</v>
      </c>
      <c r="J71" s="62">
        <v>47.7255</v>
      </c>
      <c r="K71" s="12">
        <v>1</v>
      </c>
      <c r="L71" s="11">
        <f t="shared" si="5"/>
        <v>3391</v>
      </c>
      <c r="M71" s="57" t="s">
        <v>918</v>
      </c>
      <c r="N71" s="110">
        <v>3325</v>
      </c>
      <c r="O71" s="57">
        <v>3400</v>
      </c>
      <c r="P71" s="58">
        <v>40255.645833333336</v>
      </c>
      <c r="Q71" s="59">
        <v>23706234</v>
      </c>
      <c r="R71" s="4">
        <f t="shared" si="3"/>
        <v>24510301281.417927</v>
      </c>
      <c r="S71" s="4">
        <f t="shared" si="3"/>
        <v>16694147065.579325</v>
      </c>
      <c r="T71" s="4">
        <f t="shared" si="4"/>
        <v>25063165220.096523</v>
      </c>
      <c r="U71" s="4">
        <f t="shared" si="4"/>
        <v>17070706773.825476</v>
      </c>
      <c r="V71" s="4"/>
    </row>
    <row r="72" spans="1:22" ht="15.75">
      <c r="A72" s="52">
        <v>3593</v>
      </c>
      <c r="B72" s="12" t="s">
        <v>1148</v>
      </c>
      <c r="C72" s="12" t="s">
        <v>398</v>
      </c>
      <c r="D72" s="12" t="s">
        <v>668</v>
      </c>
      <c r="E72" s="12">
        <v>0</v>
      </c>
      <c r="F72" s="12">
        <v>0</v>
      </c>
      <c r="G72" s="12">
        <v>26.0116</v>
      </c>
      <c r="H72" s="12">
        <v>73.9884</v>
      </c>
      <c r="I72" s="12" t="s">
        <v>401</v>
      </c>
      <c r="J72" s="12">
        <v>47.9864</v>
      </c>
      <c r="K72" s="12">
        <v>1</v>
      </c>
      <c r="L72" s="11">
        <f t="shared" si="5"/>
        <v>3593</v>
      </c>
      <c r="M72" s="57" t="s">
        <v>918</v>
      </c>
      <c r="N72" s="110">
        <v>4420</v>
      </c>
      <c r="O72" s="57">
        <v>4435</v>
      </c>
      <c r="P72" s="58">
        <v>40255.645833333336</v>
      </c>
      <c r="Q72" s="59">
        <v>16341155</v>
      </c>
      <c r="R72" s="4">
        <f t="shared" si="3"/>
        <v>9772124674.9474</v>
      </c>
      <c r="S72" s="4">
        <f t="shared" si="3"/>
        <v>27796208972.1462</v>
      </c>
      <c r="T72" s="4">
        <f t="shared" si="4"/>
        <v>9805287993.980026</v>
      </c>
      <c r="U72" s="4">
        <f t="shared" si="4"/>
        <v>27890539998.06977</v>
      </c>
      <c r="V72" s="4"/>
    </row>
    <row r="73" spans="1:22" ht="15.75">
      <c r="A73" s="52">
        <v>3626</v>
      </c>
      <c r="B73" s="12" t="s">
        <v>694</v>
      </c>
      <c r="C73" s="12" t="s">
        <v>398</v>
      </c>
      <c r="D73" s="12" t="s">
        <v>422</v>
      </c>
      <c r="E73" s="12">
        <v>0</v>
      </c>
      <c r="F73" s="12">
        <v>0</v>
      </c>
      <c r="G73" s="12">
        <v>100</v>
      </c>
      <c r="H73" s="12">
        <v>0</v>
      </c>
      <c r="I73" s="12" t="s">
        <v>401</v>
      </c>
      <c r="J73" s="12">
        <v>16.329</v>
      </c>
      <c r="K73" s="12">
        <v>1</v>
      </c>
      <c r="L73" s="11">
        <f t="shared" si="5"/>
        <v>3626</v>
      </c>
      <c r="M73" s="57" t="s">
        <v>918</v>
      </c>
      <c r="N73" s="110">
        <v>1103</v>
      </c>
      <c r="O73" s="57">
        <v>1082</v>
      </c>
      <c r="P73" s="58">
        <v>40255.645833333336</v>
      </c>
      <c r="Q73" s="59">
        <v>86373919</v>
      </c>
      <c r="R73" s="4">
        <f t="shared" si="3"/>
        <v>79713723708.43846</v>
      </c>
      <c r="S73" s="4">
        <f t="shared" si="3"/>
        <v>0</v>
      </c>
      <c r="T73" s="4">
        <f t="shared" si="4"/>
        <v>78196055351.34218</v>
      </c>
      <c r="U73" s="4">
        <f t="shared" si="4"/>
        <v>0</v>
      </c>
      <c r="V73" s="4"/>
    </row>
    <row r="74" spans="1:22" ht="15.75">
      <c r="A74" s="52">
        <v>3632</v>
      </c>
      <c r="B74" s="12" t="s">
        <v>100</v>
      </c>
      <c r="C74" s="12" t="s">
        <v>404</v>
      </c>
      <c r="D74" s="12" t="s">
        <v>422</v>
      </c>
      <c r="E74" s="12">
        <v>0</v>
      </c>
      <c r="F74" s="12">
        <v>0</v>
      </c>
      <c r="G74" s="12">
        <v>0</v>
      </c>
      <c r="H74" s="12">
        <v>100</v>
      </c>
      <c r="I74" s="12" t="s">
        <v>401</v>
      </c>
      <c r="J74" s="12">
        <v>79.8646</v>
      </c>
      <c r="K74" s="12">
        <v>1</v>
      </c>
      <c r="L74" s="11">
        <f t="shared" si="5"/>
        <v>3632</v>
      </c>
      <c r="M74" s="57" t="s">
        <v>920</v>
      </c>
      <c r="N74" s="110">
        <v>5720</v>
      </c>
      <c r="O74" s="57">
        <v>5720</v>
      </c>
      <c r="P74" s="58">
        <v>40255.645833333336</v>
      </c>
      <c r="Q74" s="59">
        <v>45212000</v>
      </c>
      <c r="R74" s="4">
        <f t="shared" si="3"/>
        <v>0</v>
      </c>
      <c r="S74" s="4">
        <f t="shared" si="3"/>
        <v>52072689514.56001</v>
      </c>
      <c r="T74" s="4">
        <f t="shared" si="4"/>
        <v>0</v>
      </c>
      <c r="U74" s="4">
        <f t="shared" si="4"/>
        <v>52072689514.56001</v>
      </c>
      <c r="V74" s="4"/>
    </row>
    <row r="75" spans="1:22" ht="15.75">
      <c r="A75" s="52">
        <v>3635</v>
      </c>
      <c r="B75" s="12" t="s">
        <v>101</v>
      </c>
      <c r="C75" s="12" t="s">
        <v>398</v>
      </c>
      <c r="D75" s="12" t="s">
        <v>422</v>
      </c>
      <c r="E75" s="12">
        <v>0</v>
      </c>
      <c r="F75" s="12">
        <v>0</v>
      </c>
      <c r="G75" s="12">
        <v>100</v>
      </c>
      <c r="H75" s="12">
        <v>0</v>
      </c>
      <c r="I75" s="12" t="s">
        <v>401</v>
      </c>
      <c r="J75" s="12">
        <v>61.304</v>
      </c>
      <c r="K75" s="12">
        <v>1</v>
      </c>
      <c r="L75" s="11">
        <f t="shared" si="5"/>
        <v>3635</v>
      </c>
      <c r="M75" s="57" t="s">
        <v>918</v>
      </c>
      <c r="N75" s="110">
        <v>639</v>
      </c>
      <c r="O75" s="57">
        <v>641</v>
      </c>
      <c r="P75" s="58">
        <v>40255.645833333336</v>
      </c>
      <c r="Q75" s="59">
        <v>89769479</v>
      </c>
      <c r="R75" s="4">
        <f t="shared" si="3"/>
        <v>22197069262.46376</v>
      </c>
      <c r="S75" s="4">
        <f t="shared" si="3"/>
        <v>0</v>
      </c>
      <c r="T75" s="4">
        <f t="shared" si="4"/>
        <v>22266543657.65144</v>
      </c>
      <c r="U75" s="4">
        <f t="shared" si="4"/>
        <v>0</v>
      </c>
      <c r="V75" s="4"/>
    </row>
    <row r="76" spans="1:22" ht="15.75">
      <c r="A76" s="52">
        <v>3738</v>
      </c>
      <c r="B76" s="12" t="s">
        <v>102</v>
      </c>
      <c r="C76" s="12" t="s">
        <v>398</v>
      </c>
      <c r="D76" s="12" t="s">
        <v>422</v>
      </c>
      <c r="E76" s="12">
        <v>0</v>
      </c>
      <c r="F76" s="12">
        <v>0</v>
      </c>
      <c r="G76" s="12">
        <v>0</v>
      </c>
      <c r="H76" s="12">
        <v>100</v>
      </c>
      <c r="I76" s="12" t="s">
        <v>401</v>
      </c>
      <c r="J76" s="12">
        <v>69.0694</v>
      </c>
      <c r="K76" s="12">
        <v>1</v>
      </c>
      <c r="L76" s="11">
        <f t="shared" si="5"/>
        <v>3738</v>
      </c>
      <c r="M76" s="57" t="s">
        <v>918</v>
      </c>
      <c r="N76" s="110">
        <v>131000</v>
      </c>
      <c r="O76" s="57">
        <v>129000</v>
      </c>
      <c r="P76" s="58">
        <v>40255.645833333336</v>
      </c>
      <c r="Q76" s="59">
        <v>512375</v>
      </c>
      <c r="R76" s="4">
        <f t="shared" si="3"/>
        <v>0</v>
      </c>
      <c r="S76" s="4">
        <f t="shared" si="3"/>
        <v>20760966689.25</v>
      </c>
      <c r="T76" s="4">
        <f t="shared" si="4"/>
        <v>0</v>
      </c>
      <c r="U76" s="4">
        <f t="shared" si="4"/>
        <v>20444005365.75</v>
      </c>
      <c r="V76" s="4"/>
    </row>
    <row r="77" spans="1:22" ht="15.75">
      <c r="A77" s="52">
        <v>3864</v>
      </c>
      <c r="B77" s="12" t="s">
        <v>698</v>
      </c>
      <c r="C77" s="12" t="s">
        <v>398</v>
      </c>
      <c r="D77" s="12" t="s">
        <v>365</v>
      </c>
      <c r="E77" s="12">
        <v>0</v>
      </c>
      <c r="F77" s="12">
        <v>0</v>
      </c>
      <c r="G77" s="12">
        <v>100</v>
      </c>
      <c r="H77" s="12">
        <v>0</v>
      </c>
      <c r="I77" s="12" t="s">
        <v>401</v>
      </c>
      <c r="J77" s="12">
        <v>26.4882</v>
      </c>
      <c r="K77" s="12">
        <v>1</v>
      </c>
      <c r="L77" s="11">
        <f t="shared" si="5"/>
        <v>3864</v>
      </c>
      <c r="M77" s="57" t="s">
        <v>918</v>
      </c>
      <c r="N77" s="110">
        <v>113</v>
      </c>
      <c r="O77" s="57">
        <v>112</v>
      </c>
      <c r="P77" s="58">
        <v>40255.645833333336</v>
      </c>
      <c r="Q77" s="59">
        <v>342584332</v>
      </c>
      <c r="R77" s="4">
        <f t="shared" si="3"/>
        <v>28457909713.74289</v>
      </c>
      <c r="S77" s="4">
        <f t="shared" si="3"/>
        <v>0</v>
      </c>
      <c r="T77" s="4">
        <f t="shared" si="4"/>
        <v>28206069804.771706</v>
      </c>
      <c r="U77" s="4">
        <f t="shared" si="4"/>
        <v>0</v>
      </c>
      <c r="V77" s="4"/>
    </row>
    <row r="78" spans="1:22" ht="15.75">
      <c r="A78" s="52">
        <v>3865</v>
      </c>
      <c r="B78" s="12" t="s">
        <v>103</v>
      </c>
      <c r="C78" s="12" t="s">
        <v>398</v>
      </c>
      <c r="D78" s="12" t="s">
        <v>365</v>
      </c>
      <c r="E78" s="12">
        <v>0</v>
      </c>
      <c r="F78" s="12">
        <v>0</v>
      </c>
      <c r="G78" s="12">
        <v>100</v>
      </c>
      <c r="H78" s="12">
        <v>0</v>
      </c>
      <c r="I78" s="12" t="s">
        <v>401</v>
      </c>
      <c r="J78" s="62">
        <v>54.2184</v>
      </c>
      <c r="K78" s="12">
        <v>1</v>
      </c>
      <c r="L78" s="11">
        <f t="shared" si="5"/>
        <v>3865</v>
      </c>
      <c r="M78" s="57" t="s">
        <v>918</v>
      </c>
      <c r="N78" s="110">
        <v>468</v>
      </c>
      <c r="O78" s="57">
        <v>466</v>
      </c>
      <c r="P78" s="58">
        <v>40255.645833333336</v>
      </c>
      <c r="Q78" s="59">
        <v>209263814</v>
      </c>
      <c r="R78" s="4">
        <f t="shared" si="3"/>
        <v>44836422822.46483</v>
      </c>
      <c r="S78" s="4">
        <f t="shared" si="3"/>
        <v>0</v>
      </c>
      <c r="T78" s="4">
        <f t="shared" si="4"/>
        <v>44644814177.924385</v>
      </c>
      <c r="U78" s="4">
        <f t="shared" si="4"/>
        <v>0</v>
      </c>
      <c r="V78" s="4"/>
    </row>
    <row r="79" spans="1:22" ht="15.75">
      <c r="A79" s="52">
        <v>3880</v>
      </c>
      <c r="B79" s="12" t="s">
        <v>699</v>
      </c>
      <c r="C79" s="12" t="s">
        <v>398</v>
      </c>
      <c r="D79" s="12" t="s">
        <v>365</v>
      </c>
      <c r="E79" s="12">
        <v>0</v>
      </c>
      <c r="F79" s="12">
        <v>0</v>
      </c>
      <c r="G79" s="12">
        <v>100</v>
      </c>
      <c r="H79" s="12">
        <v>0</v>
      </c>
      <c r="I79" s="12" t="s">
        <v>401</v>
      </c>
      <c r="J79" s="12">
        <v>36.2425</v>
      </c>
      <c r="K79" s="12">
        <v>1</v>
      </c>
      <c r="L79" s="11">
        <f t="shared" si="5"/>
        <v>3880</v>
      </c>
      <c r="M79" s="57" t="s">
        <v>918</v>
      </c>
      <c r="N79" s="110">
        <v>742</v>
      </c>
      <c r="O79" s="57">
        <v>742</v>
      </c>
      <c r="P79" s="58">
        <v>40255.645833333336</v>
      </c>
      <c r="Q79" s="59">
        <v>129018785</v>
      </c>
      <c r="R79" s="4">
        <f t="shared" si="3"/>
        <v>61036290670.01025</v>
      </c>
      <c r="S79" s="4">
        <f t="shared" si="3"/>
        <v>0</v>
      </c>
      <c r="T79" s="4">
        <f t="shared" si="4"/>
        <v>61036290670.01025</v>
      </c>
      <c r="U79" s="4">
        <f t="shared" si="4"/>
        <v>0</v>
      </c>
      <c r="V79" s="4"/>
    </row>
    <row r="80" spans="1:22" ht="15.75">
      <c r="A80" s="52">
        <v>4023</v>
      </c>
      <c r="B80" s="12" t="s">
        <v>700</v>
      </c>
      <c r="C80" s="12" t="s">
        <v>398</v>
      </c>
      <c r="D80" s="12" t="s">
        <v>681</v>
      </c>
      <c r="E80" s="12">
        <v>0</v>
      </c>
      <c r="F80" s="12">
        <v>0</v>
      </c>
      <c r="G80" s="12">
        <v>100</v>
      </c>
      <c r="H80" s="12">
        <v>0</v>
      </c>
      <c r="I80" s="12" t="s">
        <v>401</v>
      </c>
      <c r="J80" s="12">
        <v>39.3185</v>
      </c>
      <c r="K80" s="12">
        <v>1</v>
      </c>
      <c r="L80" s="11">
        <f t="shared" si="5"/>
        <v>4023</v>
      </c>
      <c r="M80" s="57" t="s">
        <v>918</v>
      </c>
      <c r="N80" s="110">
        <v>444</v>
      </c>
      <c r="O80" s="57">
        <v>452</v>
      </c>
      <c r="P80" s="58">
        <v>40255.645833333336</v>
      </c>
      <c r="Q80" s="59">
        <v>181683909</v>
      </c>
      <c r="R80" s="4">
        <f t="shared" si="3"/>
        <v>48950343430.48673</v>
      </c>
      <c r="S80" s="4">
        <f t="shared" si="3"/>
        <v>0</v>
      </c>
      <c r="T80" s="4">
        <f t="shared" si="4"/>
        <v>49832331600.40542</v>
      </c>
      <c r="U80" s="4">
        <f t="shared" si="4"/>
        <v>0</v>
      </c>
      <c r="V80" s="4"/>
    </row>
    <row r="81" spans="1:22" ht="15.75">
      <c r="A81" s="52">
        <v>4041</v>
      </c>
      <c r="B81" s="12" t="s">
        <v>701</v>
      </c>
      <c r="C81" s="12" t="s">
        <v>398</v>
      </c>
      <c r="D81" s="12" t="s">
        <v>681</v>
      </c>
      <c r="E81" s="12">
        <v>0</v>
      </c>
      <c r="F81" s="12">
        <v>0</v>
      </c>
      <c r="G81" s="12">
        <v>100</v>
      </c>
      <c r="H81" s="12">
        <v>0</v>
      </c>
      <c r="I81" s="12" t="s">
        <v>401</v>
      </c>
      <c r="J81" s="62">
        <v>23.278</v>
      </c>
      <c r="K81" s="12">
        <v>1</v>
      </c>
      <c r="L81" s="11">
        <f t="shared" si="5"/>
        <v>4041</v>
      </c>
      <c r="M81" s="57" t="s">
        <v>918</v>
      </c>
      <c r="N81" s="110">
        <v>392</v>
      </c>
      <c r="O81" s="57">
        <v>392</v>
      </c>
      <c r="P81" s="58">
        <v>40255.645833333336</v>
      </c>
      <c r="Q81" s="59">
        <v>154317630</v>
      </c>
      <c r="R81" s="4">
        <f aca="true" t="shared" si="6" ref="R81:S143">(E81+G81)*(100-$J81)*$N81*$Q81/10000</f>
        <v>46411064258.73121</v>
      </c>
      <c r="S81" s="4">
        <f t="shared" si="6"/>
        <v>0</v>
      </c>
      <c r="T81" s="4">
        <f t="shared" si="4"/>
        <v>46411064258.73121</v>
      </c>
      <c r="U81" s="4">
        <f t="shared" si="4"/>
        <v>0</v>
      </c>
      <c r="V81" s="4"/>
    </row>
    <row r="82" spans="1:22" ht="15.75">
      <c r="A82" s="52">
        <v>4044</v>
      </c>
      <c r="B82" s="12" t="s">
        <v>704</v>
      </c>
      <c r="C82" s="12" t="s">
        <v>398</v>
      </c>
      <c r="D82" s="12" t="s">
        <v>681</v>
      </c>
      <c r="E82" s="12">
        <v>0</v>
      </c>
      <c r="F82" s="12">
        <v>0</v>
      </c>
      <c r="G82" s="12">
        <v>100</v>
      </c>
      <c r="H82" s="12">
        <v>0</v>
      </c>
      <c r="I82" s="12" t="s">
        <v>401</v>
      </c>
      <c r="J82" s="12">
        <v>26.4315</v>
      </c>
      <c r="K82" s="12">
        <v>1</v>
      </c>
      <c r="L82" s="11">
        <f t="shared" si="5"/>
        <v>4044</v>
      </c>
      <c r="M82" s="57" t="s">
        <v>918</v>
      </c>
      <c r="N82" s="110">
        <v>416</v>
      </c>
      <c r="O82" s="57">
        <v>428</v>
      </c>
      <c r="P82" s="58">
        <v>40255.645833333336</v>
      </c>
      <c r="Q82" s="59">
        <v>214879975</v>
      </c>
      <c r="R82" s="4">
        <f t="shared" si="6"/>
        <v>65762933353.676</v>
      </c>
      <c r="S82" s="4">
        <f t="shared" si="6"/>
        <v>0</v>
      </c>
      <c r="T82" s="4">
        <f aca="true" t="shared" si="7" ref="T82:U144">(E82+G82)*(100-$J82)*$O82*$Q82/10000</f>
        <v>67659941046.5705</v>
      </c>
      <c r="U82" s="4">
        <f t="shared" si="7"/>
        <v>0</v>
      </c>
      <c r="V82" s="4"/>
    </row>
    <row r="83" spans="1:22" ht="15.75">
      <c r="A83" s="52">
        <v>4045</v>
      </c>
      <c r="B83" s="12" t="s">
        <v>705</v>
      </c>
      <c r="C83" s="12" t="s">
        <v>398</v>
      </c>
      <c r="D83" s="12" t="s">
        <v>681</v>
      </c>
      <c r="E83" s="12">
        <v>0</v>
      </c>
      <c r="F83" s="12">
        <v>0</v>
      </c>
      <c r="G83" s="12">
        <v>100</v>
      </c>
      <c r="H83" s="12">
        <v>0</v>
      </c>
      <c r="I83" s="12" t="s">
        <v>401</v>
      </c>
      <c r="J83" s="12">
        <v>32.1283</v>
      </c>
      <c r="K83" s="12">
        <v>1</v>
      </c>
      <c r="L83" s="11">
        <f aca="true" t="shared" si="8" ref="L83:L145">A83</f>
        <v>4045</v>
      </c>
      <c r="M83" s="57" t="s">
        <v>918</v>
      </c>
      <c r="N83" s="110">
        <v>375</v>
      </c>
      <c r="O83" s="57">
        <v>376</v>
      </c>
      <c r="P83" s="58">
        <v>40255.645833333336</v>
      </c>
      <c r="Q83" s="59">
        <v>263992598</v>
      </c>
      <c r="R83" s="4">
        <f t="shared" si="6"/>
        <v>67191099051.28725</v>
      </c>
      <c r="S83" s="4">
        <f t="shared" si="6"/>
        <v>0</v>
      </c>
      <c r="T83" s="4">
        <f t="shared" si="7"/>
        <v>67370275315.42401</v>
      </c>
      <c r="U83" s="4">
        <f t="shared" si="7"/>
        <v>0</v>
      </c>
      <c r="V83" s="4"/>
    </row>
    <row r="84" spans="1:22" ht="15.75">
      <c r="A84" s="52">
        <v>4047</v>
      </c>
      <c r="B84" s="12" t="s">
        <v>104</v>
      </c>
      <c r="C84" s="12" t="s">
        <v>398</v>
      </c>
      <c r="D84" s="12" t="s">
        <v>681</v>
      </c>
      <c r="E84" s="12">
        <v>0</v>
      </c>
      <c r="F84" s="12">
        <v>0</v>
      </c>
      <c r="G84" s="12">
        <v>0</v>
      </c>
      <c r="H84" s="12">
        <v>100</v>
      </c>
      <c r="I84" s="12" t="s">
        <v>401</v>
      </c>
      <c r="J84" s="12">
        <v>37.7961</v>
      </c>
      <c r="K84" s="12">
        <v>1</v>
      </c>
      <c r="L84" s="11">
        <f t="shared" si="8"/>
        <v>4047</v>
      </c>
      <c r="M84" s="57" t="s">
        <v>918</v>
      </c>
      <c r="N84" s="110">
        <v>713</v>
      </c>
      <c r="O84" s="57">
        <v>723</v>
      </c>
      <c r="P84" s="58">
        <v>40255.645833333336</v>
      </c>
      <c r="Q84" s="59">
        <v>57546050</v>
      </c>
      <c r="R84" s="4">
        <f t="shared" si="6"/>
        <v>0</v>
      </c>
      <c r="S84" s="4">
        <f t="shared" si="6"/>
        <v>25522467713.312347</v>
      </c>
      <c r="T84" s="4">
        <f t="shared" si="7"/>
        <v>0</v>
      </c>
      <c r="U84" s="4">
        <f t="shared" si="7"/>
        <v>25880426587.27185</v>
      </c>
      <c r="V84" s="4"/>
    </row>
    <row r="85" spans="1:22" ht="15.75">
      <c r="A85" s="52">
        <v>4078</v>
      </c>
      <c r="B85" s="12" t="s">
        <v>105</v>
      </c>
      <c r="C85" s="12" t="s">
        <v>404</v>
      </c>
      <c r="D85" s="12" t="s">
        <v>681</v>
      </c>
      <c r="E85" s="12">
        <v>0</v>
      </c>
      <c r="F85" s="12">
        <v>0</v>
      </c>
      <c r="G85" s="12">
        <v>100</v>
      </c>
      <c r="H85" s="12">
        <v>0</v>
      </c>
      <c r="I85" s="12" t="s">
        <v>401</v>
      </c>
      <c r="J85" s="12">
        <v>31.0096</v>
      </c>
      <c r="K85" s="12">
        <v>1</v>
      </c>
      <c r="L85" s="11">
        <f t="shared" si="8"/>
        <v>4078</v>
      </c>
      <c r="M85" s="57" t="s">
        <v>919</v>
      </c>
      <c r="N85" s="110">
        <v>425</v>
      </c>
      <c r="O85" s="57">
        <v>427</v>
      </c>
      <c r="P85" s="58">
        <v>40255.645833333336</v>
      </c>
      <c r="Q85" s="59">
        <v>104939559</v>
      </c>
      <c r="R85" s="4">
        <f t="shared" si="6"/>
        <v>30769244142.742794</v>
      </c>
      <c r="S85" s="4">
        <f t="shared" si="6"/>
        <v>0</v>
      </c>
      <c r="T85" s="4">
        <f t="shared" si="7"/>
        <v>30914040585.767467</v>
      </c>
      <c r="U85" s="4">
        <f t="shared" si="7"/>
        <v>0</v>
      </c>
      <c r="V85" s="4"/>
    </row>
    <row r="86" spans="1:22" ht="15.75">
      <c r="A86" s="52">
        <v>4095</v>
      </c>
      <c r="B86" s="12" t="s">
        <v>707</v>
      </c>
      <c r="C86" s="12" t="s">
        <v>398</v>
      </c>
      <c r="D86" s="12" t="s">
        <v>681</v>
      </c>
      <c r="E86" s="12">
        <v>0</v>
      </c>
      <c r="F86" s="12">
        <v>0</v>
      </c>
      <c r="G86" s="12">
        <v>83.3521</v>
      </c>
      <c r="H86" s="12">
        <v>16.6479</v>
      </c>
      <c r="I86" s="12" t="s">
        <v>401</v>
      </c>
      <c r="J86" s="12">
        <v>44.3804</v>
      </c>
      <c r="K86" s="12">
        <v>1</v>
      </c>
      <c r="L86" s="11">
        <f t="shared" si="8"/>
        <v>4095</v>
      </c>
      <c r="M86" s="57" t="s">
        <v>918</v>
      </c>
      <c r="N86" s="110">
        <v>1215</v>
      </c>
      <c r="O86" s="57">
        <v>1234</v>
      </c>
      <c r="P86" s="58">
        <v>40255.645833333336</v>
      </c>
      <c r="Q86" s="59">
        <v>66302262</v>
      </c>
      <c r="R86" s="4">
        <f t="shared" si="6"/>
        <v>37346424598.01439</v>
      </c>
      <c r="S86" s="4">
        <f t="shared" si="6"/>
        <v>7459194694.138286</v>
      </c>
      <c r="T86" s="4">
        <f t="shared" si="7"/>
        <v>37930442760.45248</v>
      </c>
      <c r="U86" s="4">
        <f t="shared" si="7"/>
        <v>7575840537.091889</v>
      </c>
      <c r="V86" s="4"/>
    </row>
    <row r="87" spans="1:22" ht="15.75">
      <c r="A87" s="52">
        <v>4109</v>
      </c>
      <c r="B87" s="12" t="s">
        <v>106</v>
      </c>
      <c r="C87" s="12" t="s">
        <v>398</v>
      </c>
      <c r="D87" s="12" t="s">
        <v>681</v>
      </c>
      <c r="E87" s="12">
        <v>0</v>
      </c>
      <c r="F87" s="12">
        <v>0</v>
      </c>
      <c r="G87" s="12">
        <v>0</v>
      </c>
      <c r="H87" s="12">
        <v>100</v>
      </c>
      <c r="I87" s="12" t="s">
        <v>401</v>
      </c>
      <c r="J87" s="62">
        <v>40.6863</v>
      </c>
      <c r="K87" s="12">
        <v>1</v>
      </c>
      <c r="L87" s="11">
        <f t="shared" si="8"/>
        <v>4109</v>
      </c>
      <c r="M87" s="57" t="s">
        <v>918</v>
      </c>
      <c r="N87" s="110">
        <v>3555</v>
      </c>
      <c r="O87" s="57">
        <v>3670</v>
      </c>
      <c r="P87" s="58">
        <v>40255.645833333336</v>
      </c>
      <c r="Q87" s="59">
        <v>12300000</v>
      </c>
      <c r="R87" s="4">
        <f t="shared" si="6"/>
        <v>0</v>
      </c>
      <c r="S87" s="4">
        <f t="shared" si="6"/>
        <v>25935805030.499996</v>
      </c>
      <c r="T87" s="4">
        <f t="shared" si="7"/>
        <v>0</v>
      </c>
      <c r="U87" s="4">
        <f t="shared" si="7"/>
        <v>26774797316.999996</v>
      </c>
      <c r="V87" s="4"/>
    </row>
    <row r="88" spans="1:22" ht="15.75">
      <c r="A88" s="52">
        <v>4114</v>
      </c>
      <c r="B88" s="12" t="s">
        <v>708</v>
      </c>
      <c r="C88" s="12" t="s">
        <v>398</v>
      </c>
      <c r="D88" s="12" t="s">
        <v>681</v>
      </c>
      <c r="E88" s="12">
        <v>0</v>
      </c>
      <c r="F88" s="12">
        <v>0</v>
      </c>
      <c r="G88" s="12">
        <v>100</v>
      </c>
      <c r="H88" s="12">
        <v>0</v>
      </c>
      <c r="I88" s="12" t="s">
        <v>401</v>
      </c>
      <c r="J88" s="12">
        <v>47.4791</v>
      </c>
      <c r="K88" s="12">
        <v>1</v>
      </c>
      <c r="L88" s="11">
        <f t="shared" si="8"/>
        <v>4114</v>
      </c>
      <c r="M88" s="57" t="s">
        <v>918</v>
      </c>
      <c r="N88" s="110">
        <v>815</v>
      </c>
      <c r="O88" s="57">
        <v>824</v>
      </c>
      <c r="P88" s="58">
        <v>40255.645833333336</v>
      </c>
      <c r="Q88" s="59">
        <v>187000000</v>
      </c>
      <c r="R88" s="4">
        <f t="shared" si="6"/>
        <v>80044477645.00002</v>
      </c>
      <c r="S88" s="4">
        <f t="shared" si="6"/>
        <v>0</v>
      </c>
      <c r="T88" s="4">
        <f t="shared" si="7"/>
        <v>80928404392</v>
      </c>
      <c r="U88" s="4">
        <f t="shared" si="7"/>
        <v>0</v>
      </c>
      <c r="V88" s="4"/>
    </row>
    <row r="89" spans="1:22" ht="15.75">
      <c r="A89" s="52">
        <v>4186</v>
      </c>
      <c r="B89" s="12" t="s">
        <v>709</v>
      </c>
      <c r="C89" s="12" t="s">
        <v>398</v>
      </c>
      <c r="D89" s="12" t="s">
        <v>681</v>
      </c>
      <c r="E89" s="12">
        <v>0</v>
      </c>
      <c r="F89" s="12">
        <v>0</v>
      </c>
      <c r="G89" s="12">
        <v>100</v>
      </c>
      <c r="H89" s="12">
        <v>0</v>
      </c>
      <c r="I89" s="12" t="s">
        <v>401</v>
      </c>
      <c r="J89" s="12">
        <v>30.1849</v>
      </c>
      <c r="K89" s="12">
        <v>1</v>
      </c>
      <c r="L89" s="11">
        <f t="shared" si="8"/>
        <v>4186</v>
      </c>
      <c r="M89" s="57" t="s">
        <v>918</v>
      </c>
      <c r="N89" s="110">
        <v>1633</v>
      </c>
      <c r="O89" s="57">
        <v>1650</v>
      </c>
      <c r="P89" s="58">
        <v>40255.645833333336</v>
      </c>
      <c r="Q89" s="59">
        <v>46600000</v>
      </c>
      <c r="R89" s="4">
        <f t="shared" si="6"/>
        <v>53127755167.8</v>
      </c>
      <c r="S89" s="4">
        <f t="shared" si="6"/>
        <v>0</v>
      </c>
      <c r="T89" s="4">
        <f t="shared" si="7"/>
        <v>53680830390</v>
      </c>
      <c r="U89" s="4">
        <f t="shared" si="7"/>
        <v>0</v>
      </c>
      <c r="V89" s="4"/>
    </row>
    <row r="90" spans="1:22" ht="15.75">
      <c r="A90" s="52">
        <v>4201</v>
      </c>
      <c r="B90" s="12" t="s">
        <v>107</v>
      </c>
      <c r="C90" s="12" t="s">
        <v>398</v>
      </c>
      <c r="D90" s="12" t="s">
        <v>681</v>
      </c>
      <c r="E90" s="12">
        <v>0</v>
      </c>
      <c r="F90" s="12">
        <v>0</v>
      </c>
      <c r="G90" s="12">
        <v>64.5978</v>
      </c>
      <c r="H90" s="12">
        <v>35.4022</v>
      </c>
      <c r="I90" s="12" t="s">
        <v>401</v>
      </c>
      <c r="J90" s="62">
        <v>49.4681</v>
      </c>
      <c r="K90" s="12">
        <v>1</v>
      </c>
      <c r="L90" s="11">
        <f t="shared" si="8"/>
        <v>4201</v>
      </c>
      <c r="M90" s="57" t="s">
        <v>918</v>
      </c>
      <c r="N90" s="110">
        <v>612</v>
      </c>
      <c r="O90" s="57">
        <v>612</v>
      </c>
      <c r="P90" s="58">
        <v>40255.645833333336</v>
      </c>
      <c r="Q90" s="59">
        <v>98369186</v>
      </c>
      <c r="R90" s="4">
        <f t="shared" si="6"/>
        <v>19651416272.74347</v>
      </c>
      <c r="S90" s="4">
        <f t="shared" si="6"/>
        <v>10769768771.860943</v>
      </c>
      <c r="T90" s="4">
        <f t="shared" si="7"/>
        <v>19651416272.74347</v>
      </c>
      <c r="U90" s="4">
        <f t="shared" si="7"/>
        <v>10769768771.860943</v>
      </c>
      <c r="V90" s="4"/>
    </row>
    <row r="91" spans="1:22" ht="15.75">
      <c r="A91" s="52">
        <v>4203</v>
      </c>
      <c r="B91" s="12" t="s">
        <v>710</v>
      </c>
      <c r="C91" s="12" t="s">
        <v>398</v>
      </c>
      <c r="D91" s="12" t="s">
        <v>681</v>
      </c>
      <c r="E91" s="12">
        <v>0</v>
      </c>
      <c r="F91" s="12">
        <v>0</v>
      </c>
      <c r="G91" s="12">
        <v>100</v>
      </c>
      <c r="H91" s="12">
        <v>0</v>
      </c>
      <c r="I91" s="12" t="s">
        <v>401</v>
      </c>
      <c r="J91" s="12">
        <v>33.9124</v>
      </c>
      <c r="K91" s="12">
        <v>1</v>
      </c>
      <c r="L91" s="11">
        <f t="shared" si="8"/>
        <v>4203</v>
      </c>
      <c r="M91" s="57" t="s">
        <v>918</v>
      </c>
      <c r="N91" s="110">
        <v>502</v>
      </c>
      <c r="O91" s="57">
        <v>500</v>
      </c>
      <c r="P91" s="58">
        <v>40255.645833333336</v>
      </c>
      <c r="Q91" s="59">
        <v>262952394</v>
      </c>
      <c r="R91" s="4">
        <f t="shared" si="6"/>
        <v>87237021021.2463</v>
      </c>
      <c r="S91" s="4">
        <f t="shared" si="6"/>
        <v>0</v>
      </c>
      <c r="T91" s="4">
        <f t="shared" si="7"/>
        <v>86889463168.572</v>
      </c>
      <c r="U91" s="4">
        <f t="shared" si="7"/>
        <v>0</v>
      </c>
      <c r="V91" s="4"/>
    </row>
    <row r="92" spans="1:22" ht="15.75">
      <c r="A92" s="52">
        <v>4205</v>
      </c>
      <c r="B92" s="12" t="s">
        <v>711</v>
      </c>
      <c r="C92" s="12" t="s">
        <v>398</v>
      </c>
      <c r="D92" s="12" t="s">
        <v>681</v>
      </c>
      <c r="E92" s="12">
        <v>0</v>
      </c>
      <c r="F92" s="12">
        <v>0</v>
      </c>
      <c r="G92" s="12">
        <v>100</v>
      </c>
      <c r="H92" s="12">
        <v>0</v>
      </c>
      <c r="I92" s="12" t="s">
        <v>401</v>
      </c>
      <c r="J92" s="12">
        <v>41.0956</v>
      </c>
      <c r="K92" s="12">
        <v>1</v>
      </c>
      <c r="L92" s="11">
        <f t="shared" si="8"/>
        <v>4205</v>
      </c>
      <c r="M92" s="57" t="s">
        <v>918</v>
      </c>
      <c r="N92" s="110">
        <v>517</v>
      </c>
      <c r="O92" s="57">
        <v>519</v>
      </c>
      <c r="P92" s="58">
        <v>40255.645833333336</v>
      </c>
      <c r="Q92" s="59">
        <v>242075556</v>
      </c>
      <c r="R92" s="4">
        <f t="shared" si="6"/>
        <v>73720660518.9759</v>
      </c>
      <c r="S92" s="4">
        <f t="shared" si="6"/>
        <v>0</v>
      </c>
      <c r="T92" s="4">
        <f t="shared" si="7"/>
        <v>74005846826.59282</v>
      </c>
      <c r="U92" s="4">
        <f t="shared" si="7"/>
        <v>0</v>
      </c>
      <c r="V92" s="4"/>
    </row>
    <row r="93" spans="1:22" ht="15.75">
      <c r="A93" s="52">
        <v>4206</v>
      </c>
      <c r="B93" s="12" t="s">
        <v>712</v>
      </c>
      <c r="C93" s="12" t="s">
        <v>398</v>
      </c>
      <c r="D93" s="12" t="s">
        <v>681</v>
      </c>
      <c r="E93" s="12">
        <v>0</v>
      </c>
      <c r="F93" s="12">
        <v>0</v>
      </c>
      <c r="G93" s="12">
        <v>100</v>
      </c>
      <c r="H93" s="12">
        <v>0</v>
      </c>
      <c r="I93" s="12" t="s">
        <v>401</v>
      </c>
      <c r="J93" s="12">
        <v>33.842</v>
      </c>
      <c r="K93" s="12">
        <v>1</v>
      </c>
      <c r="L93" s="11">
        <f t="shared" si="8"/>
        <v>4206</v>
      </c>
      <c r="M93" s="57" t="s">
        <v>918</v>
      </c>
      <c r="N93" s="110">
        <v>989</v>
      </c>
      <c r="O93" s="57">
        <v>986</v>
      </c>
      <c r="P93" s="58">
        <v>40255.645833333336</v>
      </c>
      <c r="Q93" s="59">
        <v>69890664</v>
      </c>
      <c r="R93" s="4">
        <f t="shared" si="6"/>
        <v>45729644568.739685</v>
      </c>
      <c r="S93" s="4">
        <f t="shared" si="6"/>
        <v>0</v>
      </c>
      <c r="T93" s="4">
        <f t="shared" si="7"/>
        <v>45590929772.272316</v>
      </c>
      <c r="U93" s="4">
        <f t="shared" si="7"/>
        <v>0</v>
      </c>
      <c r="V93" s="4"/>
    </row>
    <row r="94" spans="1:22" ht="15.75">
      <c r="A94" s="52">
        <v>4321</v>
      </c>
      <c r="B94" s="12" t="s">
        <v>108</v>
      </c>
      <c r="C94" s="12" t="s">
        <v>398</v>
      </c>
      <c r="D94" s="12" t="s">
        <v>372</v>
      </c>
      <c r="E94" s="12">
        <v>0</v>
      </c>
      <c r="F94" s="12">
        <v>0</v>
      </c>
      <c r="G94" s="12">
        <v>100</v>
      </c>
      <c r="H94" s="12">
        <v>0</v>
      </c>
      <c r="I94" s="12" t="s">
        <v>401</v>
      </c>
      <c r="J94" s="12">
        <v>7.7394</v>
      </c>
      <c r="K94" s="12">
        <v>1</v>
      </c>
      <c r="L94" s="11">
        <f t="shared" si="8"/>
        <v>4321</v>
      </c>
      <c r="M94" s="57" t="s">
        <v>918</v>
      </c>
      <c r="N94" s="110">
        <v>28340</v>
      </c>
      <c r="O94" s="57">
        <v>27710</v>
      </c>
      <c r="P94" s="58">
        <v>40255.645833333336</v>
      </c>
      <c r="Q94" s="59">
        <v>1211982</v>
      </c>
      <c r="R94" s="4">
        <f t="shared" si="6"/>
        <v>31689274056.707275</v>
      </c>
      <c r="S94" s="4">
        <f t="shared" si="6"/>
        <v>0</v>
      </c>
      <c r="T94" s="4">
        <f t="shared" si="7"/>
        <v>30984819481.699318</v>
      </c>
      <c r="U94" s="4">
        <f t="shared" si="7"/>
        <v>0</v>
      </c>
      <c r="V94" s="4"/>
    </row>
    <row r="95" spans="1:22" ht="15.75">
      <c r="A95" s="52">
        <v>4401</v>
      </c>
      <c r="B95" s="12" t="s">
        <v>713</v>
      </c>
      <c r="C95" s="12" t="s">
        <v>398</v>
      </c>
      <c r="D95" s="12" t="s">
        <v>681</v>
      </c>
      <c r="E95" s="12">
        <v>0</v>
      </c>
      <c r="F95" s="12">
        <v>0</v>
      </c>
      <c r="G95" s="12">
        <v>100</v>
      </c>
      <c r="H95" s="12">
        <v>0</v>
      </c>
      <c r="I95" s="12" t="s">
        <v>401</v>
      </c>
      <c r="J95" s="12">
        <v>31.6913</v>
      </c>
      <c r="K95" s="12">
        <v>1</v>
      </c>
      <c r="L95" s="11">
        <f t="shared" si="8"/>
        <v>4401</v>
      </c>
      <c r="M95" s="57" t="s">
        <v>918</v>
      </c>
      <c r="N95" s="110">
        <v>851</v>
      </c>
      <c r="O95" s="57">
        <v>864</v>
      </c>
      <c r="P95" s="58">
        <v>40255.645833333336</v>
      </c>
      <c r="Q95" s="59">
        <v>103651442</v>
      </c>
      <c r="R95" s="4">
        <f t="shared" si="6"/>
        <v>60253312629.79735</v>
      </c>
      <c r="S95" s="4">
        <f t="shared" si="6"/>
        <v>0</v>
      </c>
      <c r="T95" s="4">
        <f t="shared" si="7"/>
        <v>61173751013.09625</v>
      </c>
      <c r="U95" s="4">
        <f t="shared" si="7"/>
        <v>0</v>
      </c>
      <c r="V95" s="4"/>
    </row>
    <row r="96" spans="1:22" ht="15.75">
      <c r="A96" s="52">
        <v>4403</v>
      </c>
      <c r="B96" s="12" t="s">
        <v>714</v>
      </c>
      <c r="C96" s="12" t="s">
        <v>398</v>
      </c>
      <c r="D96" s="12" t="s">
        <v>681</v>
      </c>
      <c r="E96" s="12">
        <v>0</v>
      </c>
      <c r="F96" s="12">
        <v>0</v>
      </c>
      <c r="G96" s="12">
        <v>87.5873</v>
      </c>
      <c r="H96" s="12">
        <v>12.4127</v>
      </c>
      <c r="I96" s="12" t="s">
        <v>401</v>
      </c>
      <c r="J96" s="12">
        <v>32.3981</v>
      </c>
      <c r="K96" s="12">
        <v>1</v>
      </c>
      <c r="L96" s="11">
        <f t="shared" si="8"/>
        <v>4403</v>
      </c>
      <c r="M96" s="57" t="s">
        <v>918</v>
      </c>
      <c r="N96" s="110">
        <v>364</v>
      </c>
      <c r="O96" s="57">
        <v>362</v>
      </c>
      <c r="P96" s="58">
        <v>40255.645833333336</v>
      </c>
      <c r="Q96" s="59">
        <v>196682752</v>
      </c>
      <c r="R96" s="4">
        <f t="shared" si="6"/>
        <v>42390418198.80362</v>
      </c>
      <c r="S96" s="4">
        <f t="shared" si="6"/>
        <v>6007486747.23721</v>
      </c>
      <c r="T96" s="4">
        <f t="shared" si="7"/>
        <v>42157503813.09591</v>
      </c>
      <c r="U96" s="4">
        <f t="shared" si="7"/>
        <v>5974478578.296346</v>
      </c>
      <c r="V96" s="4"/>
    </row>
    <row r="97" spans="1:22" ht="15.75">
      <c r="A97" s="52">
        <v>4516</v>
      </c>
      <c r="B97" s="12" t="s">
        <v>1149</v>
      </c>
      <c r="C97" s="12" t="s">
        <v>398</v>
      </c>
      <c r="D97" s="12" t="s">
        <v>366</v>
      </c>
      <c r="E97" s="12">
        <v>0</v>
      </c>
      <c r="F97" s="12">
        <v>0</v>
      </c>
      <c r="G97" s="12">
        <v>85.7763</v>
      </c>
      <c r="H97" s="12">
        <v>14.2237</v>
      </c>
      <c r="I97" s="12" t="s">
        <v>401</v>
      </c>
      <c r="J97" s="12">
        <v>44.1686</v>
      </c>
      <c r="K97" s="12">
        <v>1</v>
      </c>
      <c r="L97" s="11">
        <f t="shared" si="8"/>
        <v>4516</v>
      </c>
      <c r="M97" s="57" t="s">
        <v>918</v>
      </c>
      <c r="N97" s="110">
        <v>998</v>
      </c>
      <c r="O97" s="57">
        <v>996</v>
      </c>
      <c r="P97" s="58">
        <v>40255.645833333336</v>
      </c>
      <c r="Q97" s="59">
        <v>70251484</v>
      </c>
      <c r="R97" s="4">
        <f t="shared" si="6"/>
        <v>33576225348.1097</v>
      </c>
      <c r="S97" s="4">
        <f t="shared" si="6"/>
        <v>5567716915.790351</v>
      </c>
      <c r="T97" s="4">
        <f t="shared" si="7"/>
        <v>33508938323.363987</v>
      </c>
      <c r="U97" s="4">
        <f t="shared" si="7"/>
        <v>5556559166.46011</v>
      </c>
      <c r="V97" s="4"/>
    </row>
    <row r="98" spans="1:22" ht="15.75">
      <c r="A98" s="52">
        <v>4521</v>
      </c>
      <c r="B98" s="12" t="s">
        <v>715</v>
      </c>
      <c r="C98" s="12" t="s">
        <v>398</v>
      </c>
      <c r="D98" s="12" t="s">
        <v>366</v>
      </c>
      <c r="E98" s="12">
        <v>0</v>
      </c>
      <c r="F98" s="12">
        <v>0</v>
      </c>
      <c r="G98" s="12">
        <v>0</v>
      </c>
      <c r="H98" s="12">
        <v>100</v>
      </c>
      <c r="I98" s="12" t="s">
        <v>401</v>
      </c>
      <c r="J98" s="12">
        <v>26.0928</v>
      </c>
      <c r="K98" s="12">
        <v>1</v>
      </c>
      <c r="L98" s="11">
        <f t="shared" si="8"/>
        <v>4521</v>
      </c>
      <c r="M98" s="57" t="s">
        <v>918</v>
      </c>
      <c r="N98" s="110">
        <v>790</v>
      </c>
      <c r="O98" s="57">
        <v>782</v>
      </c>
      <c r="P98" s="58">
        <v>40255.645833333336</v>
      </c>
      <c r="Q98" s="59">
        <v>101879461</v>
      </c>
      <c r="R98" s="4">
        <f t="shared" si="6"/>
        <v>0</v>
      </c>
      <c r="S98" s="4">
        <f t="shared" si="6"/>
        <v>59484043030.15167</v>
      </c>
      <c r="T98" s="4">
        <f t="shared" si="7"/>
        <v>0</v>
      </c>
      <c r="U98" s="4">
        <f t="shared" si="7"/>
        <v>58881672974.15015</v>
      </c>
      <c r="V98" s="4"/>
    </row>
    <row r="99" spans="1:22" ht="15.75">
      <c r="A99" s="52">
        <v>4527</v>
      </c>
      <c r="B99" s="12" t="s">
        <v>716</v>
      </c>
      <c r="C99" s="12" t="s">
        <v>404</v>
      </c>
      <c r="D99" s="12" t="s">
        <v>366</v>
      </c>
      <c r="E99" s="12">
        <v>0</v>
      </c>
      <c r="F99" s="12">
        <v>0</v>
      </c>
      <c r="G99" s="12">
        <v>0</v>
      </c>
      <c r="H99" s="12">
        <v>100</v>
      </c>
      <c r="I99" s="12" t="s">
        <v>401</v>
      </c>
      <c r="J99" s="12">
        <v>37.2597</v>
      </c>
      <c r="K99" s="12">
        <v>1</v>
      </c>
      <c r="L99" s="11">
        <f t="shared" si="8"/>
        <v>4527</v>
      </c>
      <c r="M99" s="57" t="s">
        <v>919</v>
      </c>
      <c r="N99" s="110">
        <v>1030</v>
      </c>
      <c r="O99" s="57">
        <v>1025</v>
      </c>
      <c r="P99" s="58">
        <v>40255.645833333336</v>
      </c>
      <c r="Q99" s="59">
        <v>117907528</v>
      </c>
      <c r="R99" s="4">
        <f t="shared" si="6"/>
        <v>0</v>
      </c>
      <c r="S99" s="4">
        <f t="shared" si="6"/>
        <v>76194802893.47751</v>
      </c>
      <c r="T99" s="4">
        <f t="shared" si="7"/>
        <v>0</v>
      </c>
      <c r="U99" s="4">
        <f t="shared" si="7"/>
        <v>75824925209.5286</v>
      </c>
      <c r="V99" s="4"/>
    </row>
    <row r="100" spans="1:22" ht="15.75">
      <c r="A100" s="52">
        <v>4534</v>
      </c>
      <c r="B100" s="12" t="s">
        <v>717</v>
      </c>
      <c r="C100" s="12" t="s">
        <v>398</v>
      </c>
      <c r="D100" s="12" t="s">
        <v>366</v>
      </c>
      <c r="E100" s="12">
        <v>0</v>
      </c>
      <c r="F100" s="12">
        <v>0</v>
      </c>
      <c r="G100" s="12">
        <v>0</v>
      </c>
      <c r="H100" s="12">
        <v>100</v>
      </c>
      <c r="I100" s="12" t="s">
        <v>401</v>
      </c>
      <c r="J100" s="12">
        <v>48.5474</v>
      </c>
      <c r="K100" s="12">
        <v>1</v>
      </c>
      <c r="L100" s="11">
        <f t="shared" si="8"/>
        <v>4534</v>
      </c>
      <c r="M100" s="57" t="s">
        <v>918</v>
      </c>
      <c r="N100" s="110">
        <v>872</v>
      </c>
      <c r="O100" s="57">
        <v>862</v>
      </c>
      <c r="P100" s="58">
        <v>40255.645833333336</v>
      </c>
      <c r="Q100" s="59">
        <v>125800000</v>
      </c>
      <c r="R100" s="4">
        <f t="shared" si="6"/>
        <v>0</v>
      </c>
      <c r="S100" s="4">
        <f t="shared" si="6"/>
        <v>56442267337.6</v>
      </c>
      <c r="T100" s="4">
        <f t="shared" si="7"/>
        <v>0</v>
      </c>
      <c r="U100" s="4">
        <f t="shared" si="7"/>
        <v>55794993629.59999</v>
      </c>
      <c r="V100" s="4"/>
    </row>
    <row r="101" spans="1:22" ht="15.75">
      <c r="A101" s="52">
        <v>4541</v>
      </c>
      <c r="B101" s="12" t="s">
        <v>1150</v>
      </c>
      <c r="C101" s="12" t="s">
        <v>404</v>
      </c>
      <c r="D101" s="12" t="s">
        <v>366</v>
      </c>
      <c r="E101" s="12">
        <v>0</v>
      </c>
      <c r="F101" s="12">
        <v>0</v>
      </c>
      <c r="G101" s="12">
        <v>0</v>
      </c>
      <c r="H101" s="12">
        <v>100</v>
      </c>
      <c r="I101" s="12" t="s">
        <v>401</v>
      </c>
      <c r="J101" s="12">
        <v>36.121</v>
      </c>
      <c r="K101" s="12">
        <v>1</v>
      </c>
      <c r="L101" s="11">
        <f t="shared" si="8"/>
        <v>4541</v>
      </c>
      <c r="M101" s="57" t="s">
        <v>919</v>
      </c>
      <c r="N101" s="110">
        <v>2586</v>
      </c>
      <c r="O101" s="57">
        <v>2564</v>
      </c>
      <c r="P101" s="58">
        <v>40255.645833333336</v>
      </c>
      <c r="Q101" s="59">
        <v>31204917</v>
      </c>
      <c r="R101" s="4">
        <f t="shared" si="6"/>
        <v>0</v>
      </c>
      <c r="S101" s="4">
        <f t="shared" si="6"/>
        <v>51547743774.09197</v>
      </c>
      <c r="T101" s="4">
        <f t="shared" si="7"/>
        <v>0</v>
      </c>
      <c r="U101" s="4">
        <f t="shared" si="7"/>
        <v>51109209217.62252</v>
      </c>
      <c r="V101" s="4"/>
    </row>
    <row r="102" spans="1:22" ht="15.75">
      <c r="A102" s="52">
        <v>4547</v>
      </c>
      <c r="B102" s="12" t="s">
        <v>718</v>
      </c>
      <c r="C102" s="12" t="s">
        <v>398</v>
      </c>
      <c r="D102" s="12" t="s">
        <v>366</v>
      </c>
      <c r="E102" s="12">
        <v>0</v>
      </c>
      <c r="F102" s="12">
        <v>0</v>
      </c>
      <c r="G102" s="12">
        <v>100</v>
      </c>
      <c r="H102" s="12">
        <v>0</v>
      </c>
      <c r="I102" s="12" t="s">
        <v>401</v>
      </c>
      <c r="J102" s="12">
        <v>52.4352</v>
      </c>
      <c r="K102" s="12">
        <v>1</v>
      </c>
      <c r="L102" s="11">
        <f t="shared" si="8"/>
        <v>4547</v>
      </c>
      <c r="M102" s="57" t="s">
        <v>918</v>
      </c>
      <c r="N102" s="110">
        <v>1929</v>
      </c>
      <c r="O102" s="57">
        <v>1963</v>
      </c>
      <c r="P102" s="58">
        <v>40255.645833333336</v>
      </c>
      <c r="Q102" s="59">
        <v>56911185</v>
      </c>
      <c r="R102" s="4">
        <f t="shared" si="6"/>
        <v>52217434561.83552</v>
      </c>
      <c r="S102" s="4">
        <f t="shared" si="6"/>
        <v>0</v>
      </c>
      <c r="T102" s="4">
        <f t="shared" si="7"/>
        <v>53137804066.81343</v>
      </c>
      <c r="U102" s="4">
        <f t="shared" si="7"/>
        <v>0</v>
      </c>
      <c r="V102" s="4"/>
    </row>
    <row r="103" spans="1:22" ht="15.75">
      <c r="A103" s="52">
        <v>4548</v>
      </c>
      <c r="B103" s="12" t="s">
        <v>109</v>
      </c>
      <c r="C103" s="12" t="s">
        <v>398</v>
      </c>
      <c r="D103" s="12" t="s">
        <v>366</v>
      </c>
      <c r="E103" s="12">
        <v>0</v>
      </c>
      <c r="F103" s="12">
        <v>0</v>
      </c>
      <c r="G103" s="12">
        <v>28.2341</v>
      </c>
      <c r="H103" s="12">
        <v>71.7659</v>
      </c>
      <c r="I103" s="12" t="s">
        <v>401</v>
      </c>
      <c r="J103" s="12">
        <v>46.961</v>
      </c>
      <c r="K103" s="12">
        <v>1</v>
      </c>
      <c r="L103" s="11">
        <f t="shared" si="8"/>
        <v>4548</v>
      </c>
      <c r="M103" s="57" t="s">
        <v>918</v>
      </c>
      <c r="N103" s="110">
        <v>947</v>
      </c>
      <c r="O103" s="57">
        <v>944</v>
      </c>
      <c r="P103" s="58">
        <v>40255.645833333336</v>
      </c>
      <c r="Q103" s="59">
        <v>58584093</v>
      </c>
      <c r="R103" s="4">
        <f t="shared" si="6"/>
        <v>8308047394.989167</v>
      </c>
      <c r="S103" s="4">
        <f t="shared" si="6"/>
        <v>21117531585.708527</v>
      </c>
      <c r="T103" s="4">
        <f t="shared" si="7"/>
        <v>8281728343.051503</v>
      </c>
      <c r="U103" s="4">
        <f t="shared" si="7"/>
        <v>21050633386.38738</v>
      </c>
      <c r="V103" s="4"/>
    </row>
    <row r="104" spans="1:22" ht="15.75">
      <c r="A104" s="52">
        <v>4553</v>
      </c>
      <c r="B104" s="12" t="s">
        <v>110</v>
      </c>
      <c r="C104" s="12" t="s">
        <v>398</v>
      </c>
      <c r="D104" s="12" t="s">
        <v>366</v>
      </c>
      <c r="E104" s="12">
        <v>0</v>
      </c>
      <c r="F104" s="12">
        <v>0</v>
      </c>
      <c r="G104" s="12">
        <v>0</v>
      </c>
      <c r="H104" s="12">
        <v>100</v>
      </c>
      <c r="I104" s="12" t="s">
        <v>401</v>
      </c>
      <c r="J104" s="12">
        <v>52.8191</v>
      </c>
      <c r="K104" s="12">
        <v>1</v>
      </c>
      <c r="L104" s="11">
        <f t="shared" si="8"/>
        <v>4553</v>
      </c>
      <c r="M104" s="57" t="s">
        <v>918</v>
      </c>
      <c r="N104" s="110">
        <v>4735</v>
      </c>
      <c r="O104" s="57">
        <v>4725</v>
      </c>
      <c r="P104" s="58">
        <v>40255.645833333336</v>
      </c>
      <c r="Q104" s="59">
        <v>17172000</v>
      </c>
      <c r="R104" s="4">
        <f t="shared" si="6"/>
        <v>0</v>
      </c>
      <c r="S104" s="4">
        <f t="shared" si="6"/>
        <v>38362516140.78001</v>
      </c>
      <c r="T104" s="4">
        <f t="shared" si="7"/>
        <v>0</v>
      </c>
      <c r="U104" s="4">
        <f t="shared" si="7"/>
        <v>38281497099.3</v>
      </c>
      <c r="V104" s="4"/>
    </row>
    <row r="105" spans="1:22" ht="15.75">
      <c r="A105" s="52">
        <v>4555</v>
      </c>
      <c r="B105" s="12" t="s">
        <v>1151</v>
      </c>
      <c r="C105" s="12" t="s">
        <v>398</v>
      </c>
      <c r="D105" s="12" t="s">
        <v>366</v>
      </c>
      <c r="E105" s="12">
        <v>0</v>
      </c>
      <c r="F105" s="12">
        <v>0</v>
      </c>
      <c r="G105" s="12">
        <v>0</v>
      </c>
      <c r="H105" s="12">
        <v>100</v>
      </c>
      <c r="I105" s="12" t="s">
        <v>401</v>
      </c>
      <c r="J105" s="12">
        <v>22.865</v>
      </c>
      <c r="K105" s="12">
        <v>1</v>
      </c>
      <c r="L105" s="11">
        <f t="shared" si="8"/>
        <v>4555</v>
      </c>
      <c r="M105" s="57" t="s">
        <v>918</v>
      </c>
      <c r="N105" s="110">
        <v>6110</v>
      </c>
      <c r="O105" s="57">
        <v>5980</v>
      </c>
      <c r="P105" s="58">
        <v>40255.645833333336</v>
      </c>
      <c r="Q105" s="59">
        <v>15702000</v>
      </c>
      <c r="R105" s="4">
        <f t="shared" si="6"/>
        <v>0</v>
      </c>
      <c r="S105" s="4">
        <f t="shared" si="6"/>
        <v>74002717347.00002</v>
      </c>
      <c r="T105" s="4">
        <f t="shared" si="7"/>
        <v>0</v>
      </c>
      <c r="U105" s="4">
        <f t="shared" si="7"/>
        <v>72428191446.00002</v>
      </c>
      <c r="V105" s="4"/>
    </row>
    <row r="106" spans="1:22" ht="15.75">
      <c r="A106" s="52">
        <v>4569</v>
      </c>
      <c r="B106" s="12" t="s">
        <v>719</v>
      </c>
      <c r="C106" s="12" t="s">
        <v>398</v>
      </c>
      <c r="D106" s="12" t="s">
        <v>366</v>
      </c>
      <c r="E106" s="12">
        <v>0</v>
      </c>
      <c r="F106" s="12">
        <v>0</v>
      </c>
      <c r="G106" s="12">
        <v>75.6563</v>
      </c>
      <c r="H106" s="12">
        <v>24.3437</v>
      </c>
      <c r="I106" s="12" t="s">
        <v>401</v>
      </c>
      <c r="J106" s="12">
        <v>41.7921</v>
      </c>
      <c r="K106" s="12">
        <v>1</v>
      </c>
      <c r="L106" s="11">
        <f t="shared" si="8"/>
        <v>4569</v>
      </c>
      <c r="M106" s="57" t="s">
        <v>918</v>
      </c>
      <c r="N106" s="110">
        <v>1340</v>
      </c>
      <c r="O106" s="57">
        <v>1329</v>
      </c>
      <c r="P106" s="58">
        <v>40255.645833333336</v>
      </c>
      <c r="Q106" s="59">
        <v>74947628</v>
      </c>
      <c r="R106" s="4">
        <f t="shared" si="6"/>
        <v>44227228005.603645</v>
      </c>
      <c r="S106" s="4">
        <f t="shared" si="6"/>
        <v>14230862074.936434</v>
      </c>
      <c r="T106" s="4">
        <f t="shared" si="7"/>
        <v>43864168671.22929</v>
      </c>
      <c r="U106" s="4">
        <f t="shared" si="7"/>
        <v>14114041565.366062</v>
      </c>
      <c r="V106" s="4"/>
    </row>
    <row r="107" spans="1:22" ht="15.75">
      <c r="A107" s="52">
        <v>4612</v>
      </c>
      <c r="B107" s="12" t="s">
        <v>720</v>
      </c>
      <c r="C107" s="12" t="s">
        <v>398</v>
      </c>
      <c r="D107" s="12" t="s">
        <v>681</v>
      </c>
      <c r="E107" s="12">
        <v>0</v>
      </c>
      <c r="F107" s="12">
        <v>0</v>
      </c>
      <c r="G107" s="12">
        <v>77.2719</v>
      </c>
      <c r="H107" s="12">
        <v>22.7281</v>
      </c>
      <c r="I107" s="12" t="s">
        <v>401</v>
      </c>
      <c r="J107" s="12">
        <v>39.962</v>
      </c>
      <c r="K107" s="12">
        <v>1</v>
      </c>
      <c r="L107" s="11">
        <f t="shared" si="8"/>
        <v>4612</v>
      </c>
      <c r="M107" s="57" t="s">
        <v>918</v>
      </c>
      <c r="N107" s="110">
        <v>593</v>
      </c>
      <c r="O107" s="57">
        <v>597</v>
      </c>
      <c r="P107" s="58">
        <v>40255.645833333336</v>
      </c>
      <c r="Q107" s="59">
        <v>265402443</v>
      </c>
      <c r="R107" s="4">
        <f t="shared" si="6"/>
        <v>73014214450.9684</v>
      </c>
      <c r="S107" s="4">
        <f t="shared" si="6"/>
        <v>21475780554.937233</v>
      </c>
      <c r="T107" s="4">
        <f t="shared" si="7"/>
        <v>73506721799.71016</v>
      </c>
      <c r="U107" s="4">
        <f t="shared" si="7"/>
        <v>21620642481.108818</v>
      </c>
      <c r="V107" s="4"/>
    </row>
    <row r="108" spans="1:22" ht="15.75">
      <c r="A108" s="52">
        <v>4617</v>
      </c>
      <c r="B108" s="12" t="s">
        <v>111</v>
      </c>
      <c r="C108" s="12" t="s">
        <v>398</v>
      </c>
      <c r="D108" s="12" t="s">
        <v>681</v>
      </c>
      <c r="E108" s="12">
        <v>0</v>
      </c>
      <c r="F108" s="12">
        <v>0</v>
      </c>
      <c r="G108" s="12">
        <v>100</v>
      </c>
      <c r="H108" s="12">
        <v>0</v>
      </c>
      <c r="I108" s="12" t="s">
        <v>401</v>
      </c>
      <c r="J108" s="12">
        <v>32.5915</v>
      </c>
      <c r="K108" s="12">
        <v>1</v>
      </c>
      <c r="L108" s="11">
        <f t="shared" si="8"/>
        <v>4617</v>
      </c>
      <c r="M108" s="57" t="s">
        <v>918</v>
      </c>
      <c r="N108" s="110">
        <v>599</v>
      </c>
      <c r="O108" s="57">
        <v>602</v>
      </c>
      <c r="P108" s="58">
        <v>40255.645833333336</v>
      </c>
      <c r="Q108" s="59">
        <v>69068822</v>
      </c>
      <c r="R108" s="4">
        <f t="shared" si="6"/>
        <v>27888395869.84413</v>
      </c>
      <c r="S108" s="4">
        <f t="shared" si="6"/>
        <v>0</v>
      </c>
      <c r="T108" s="4">
        <f t="shared" si="7"/>
        <v>28028070640.47774</v>
      </c>
      <c r="U108" s="4">
        <f t="shared" si="7"/>
        <v>0</v>
      </c>
      <c r="V108" s="4"/>
    </row>
    <row r="109" spans="1:22" ht="15.75">
      <c r="A109" s="52">
        <v>4626</v>
      </c>
      <c r="B109" s="12" t="s">
        <v>721</v>
      </c>
      <c r="C109" s="12" t="s">
        <v>398</v>
      </c>
      <c r="D109" s="12" t="s">
        <v>681</v>
      </c>
      <c r="E109" s="12">
        <v>0</v>
      </c>
      <c r="F109" s="12">
        <v>0</v>
      </c>
      <c r="G109" s="12">
        <v>0</v>
      </c>
      <c r="H109" s="12">
        <v>100</v>
      </c>
      <c r="I109" s="12" t="s">
        <v>401</v>
      </c>
      <c r="J109" s="12">
        <v>37.3897</v>
      </c>
      <c r="K109" s="12">
        <v>1</v>
      </c>
      <c r="L109" s="11">
        <f t="shared" si="8"/>
        <v>4626</v>
      </c>
      <c r="M109" s="57" t="s">
        <v>918</v>
      </c>
      <c r="N109" s="110">
        <v>2485</v>
      </c>
      <c r="O109" s="57">
        <v>2489</v>
      </c>
      <c r="P109" s="58">
        <v>40255.645833333336</v>
      </c>
      <c r="Q109" s="59">
        <v>27464000</v>
      </c>
      <c r="R109" s="4">
        <f t="shared" si="6"/>
        <v>0</v>
      </c>
      <c r="S109" s="4">
        <f t="shared" si="6"/>
        <v>42730302588.12</v>
      </c>
      <c r="T109" s="4">
        <f t="shared" si="7"/>
        <v>0</v>
      </c>
      <c r="U109" s="4">
        <f t="shared" si="7"/>
        <v>42799083759.28801</v>
      </c>
      <c r="V109" s="4"/>
    </row>
    <row r="110" spans="1:22" ht="15.75">
      <c r="A110" s="52">
        <v>4631</v>
      </c>
      <c r="B110" s="12" t="s">
        <v>1152</v>
      </c>
      <c r="C110" s="12" t="s">
        <v>398</v>
      </c>
      <c r="D110" s="12" t="s">
        <v>681</v>
      </c>
      <c r="E110" s="12">
        <v>0</v>
      </c>
      <c r="F110" s="12">
        <v>0</v>
      </c>
      <c r="G110" s="12">
        <v>68.3699</v>
      </c>
      <c r="H110" s="12">
        <v>31.6301</v>
      </c>
      <c r="I110" s="12" t="s">
        <v>401</v>
      </c>
      <c r="J110" s="12">
        <v>35.6262</v>
      </c>
      <c r="K110" s="12">
        <v>1</v>
      </c>
      <c r="L110" s="11">
        <f t="shared" si="8"/>
        <v>4631</v>
      </c>
      <c r="M110" s="57" t="s">
        <v>918</v>
      </c>
      <c r="N110" s="110">
        <v>187</v>
      </c>
      <c r="O110" s="57">
        <v>190</v>
      </c>
      <c r="P110" s="58">
        <v>40255.645833333336</v>
      </c>
      <c r="Q110" s="59">
        <v>792872048</v>
      </c>
      <c r="R110" s="4">
        <f t="shared" si="6"/>
        <v>65255752942.16616</v>
      </c>
      <c r="S110" s="4">
        <f t="shared" si="6"/>
        <v>30189396081.258125</v>
      </c>
      <c r="T110" s="4">
        <f t="shared" si="7"/>
        <v>66302636679.20626</v>
      </c>
      <c r="U110" s="4">
        <f t="shared" si="7"/>
        <v>30673717943.5243</v>
      </c>
      <c r="V110" s="4"/>
    </row>
    <row r="111" spans="1:22" ht="15.75">
      <c r="A111" s="52">
        <v>4634</v>
      </c>
      <c r="B111" s="12" t="s">
        <v>722</v>
      </c>
      <c r="C111" s="12" t="s">
        <v>398</v>
      </c>
      <c r="D111" s="12" t="s">
        <v>681</v>
      </c>
      <c r="E111" s="12">
        <v>0</v>
      </c>
      <c r="F111" s="12">
        <v>0</v>
      </c>
      <c r="G111" s="12">
        <v>100</v>
      </c>
      <c r="H111" s="12">
        <v>0</v>
      </c>
      <c r="I111" s="12" t="s">
        <v>401</v>
      </c>
      <c r="J111" s="12">
        <v>44.8283</v>
      </c>
      <c r="K111" s="12">
        <v>1</v>
      </c>
      <c r="L111" s="11">
        <f t="shared" si="8"/>
        <v>4634</v>
      </c>
      <c r="M111" s="57" t="s">
        <v>918</v>
      </c>
      <c r="N111" s="110">
        <v>413</v>
      </c>
      <c r="O111" s="57">
        <v>426</v>
      </c>
      <c r="P111" s="58">
        <v>40255.645833333336</v>
      </c>
      <c r="Q111" s="59">
        <v>303108724</v>
      </c>
      <c r="R111" s="4">
        <f t="shared" si="6"/>
        <v>69066087418.0716</v>
      </c>
      <c r="S111" s="4">
        <f t="shared" si="6"/>
        <v>0</v>
      </c>
      <c r="T111" s="4">
        <f t="shared" si="7"/>
        <v>71240080484.5</v>
      </c>
      <c r="U111" s="4">
        <f t="shared" si="7"/>
        <v>0</v>
      </c>
      <c r="V111" s="4"/>
    </row>
    <row r="112" spans="1:22" ht="15.75">
      <c r="A112" s="52">
        <v>4665</v>
      </c>
      <c r="B112" s="12" t="s">
        <v>723</v>
      </c>
      <c r="C112" s="12" t="s">
        <v>398</v>
      </c>
      <c r="D112" s="12" t="s">
        <v>372</v>
      </c>
      <c r="E112" s="12">
        <v>0</v>
      </c>
      <c r="F112" s="12">
        <v>0</v>
      </c>
      <c r="G112" s="12">
        <v>100</v>
      </c>
      <c r="H112" s="12">
        <v>0</v>
      </c>
      <c r="I112" s="12" t="s">
        <v>401</v>
      </c>
      <c r="J112" s="12">
        <v>27.3485</v>
      </c>
      <c r="K112" s="12">
        <v>1</v>
      </c>
      <c r="L112" s="11">
        <f t="shared" si="8"/>
        <v>4665</v>
      </c>
      <c r="M112" s="57" t="s">
        <v>918</v>
      </c>
      <c r="N112" s="110">
        <v>1662</v>
      </c>
      <c r="O112" s="57">
        <v>1666</v>
      </c>
      <c r="P112" s="58">
        <v>40255.645833333336</v>
      </c>
      <c r="Q112" s="59">
        <v>67394823</v>
      </c>
      <c r="R112" s="4">
        <f t="shared" si="6"/>
        <v>81377087420.52638</v>
      </c>
      <c r="S112" s="4">
        <f t="shared" si="6"/>
        <v>0</v>
      </c>
      <c r="T112" s="4">
        <f t="shared" si="7"/>
        <v>81572940819.85376</v>
      </c>
      <c r="U112" s="4">
        <f t="shared" si="7"/>
        <v>0</v>
      </c>
      <c r="V112" s="4"/>
    </row>
    <row r="113" spans="1:22" ht="15.75">
      <c r="A113" s="52">
        <v>4666</v>
      </c>
      <c r="B113" s="12" t="s">
        <v>724</v>
      </c>
      <c r="C113" s="12" t="s">
        <v>398</v>
      </c>
      <c r="D113" s="12" t="s">
        <v>408</v>
      </c>
      <c r="E113" s="12">
        <v>0</v>
      </c>
      <c r="F113" s="12">
        <v>0</v>
      </c>
      <c r="G113" s="12">
        <v>0</v>
      </c>
      <c r="H113" s="12">
        <v>100</v>
      </c>
      <c r="I113" s="12" t="s">
        <v>401</v>
      </c>
      <c r="J113" s="62">
        <v>45.42</v>
      </c>
      <c r="K113" s="12">
        <v>1</v>
      </c>
      <c r="L113" s="11">
        <f t="shared" si="8"/>
        <v>4666</v>
      </c>
      <c r="M113" s="57" t="s">
        <v>918</v>
      </c>
      <c r="N113" s="110">
        <v>906</v>
      </c>
      <c r="O113" s="57">
        <v>919</v>
      </c>
      <c r="P113" s="58">
        <v>40255.645833333336</v>
      </c>
      <c r="Q113" s="59">
        <v>148924104</v>
      </c>
      <c r="R113" s="4">
        <f t="shared" si="6"/>
        <v>0</v>
      </c>
      <c r="S113" s="4">
        <f t="shared" si="6"/>
        <v>73642195022.6592</v>
      </c>
      <c r="T113" s="4">
        <f t="shared" si="7"/>
        <v>0</v>
      </c>
      <c r="U113" s="4">
        <f t="shared" si="7"/>
        <v>74698871110.1808</v>
      </c>
      <c r="V113" s="4"/>
    </row>
    <row r="114" spans="1:22" ht="15.75">
      <c r="A114" s="52">
        <v>4680</v>
      </c>
      <c r="B114" s="12" t="s">
        <v>112</v>
      </c>
      <c r="C114" s="12" t="s">
        <v>398</v>
      </c>
      <c r="D114" s="12" t="s">
        <v>372</v>
      </c>
      <c r="E114" s="12">
        <v>0</v>
      </c>
      <c r="F114" s="12">
        <v>0</v>
      </c>
      <c r="G114" s="12">
        <v>100</v>
      </c>
      <c r="H114" s="12">
        <v>0</v>
      </c>
      <c r="I114" s="12" t="s">
        <v>401</v>
      </c>
      <c r="J114" s="62">
        <v>50.1428</v>
      </c>
      <c r="K114" s="12">
        <v>1</v>
      </c>
      <c r="L114" s="11">
        <f t="shared" si="8"/>
        <v>4680</v>
      </c>
      <c r="M114" s="57" t="s">
        <v>918</v>
      </c>
      <c r="N114" s="110">
        <v>664</v>
      </c>
      <c r="O114" s="57">
        <v>636</v>
      </c>
      <c r="P114" s="58">
        <v>40255.645833333336</v>
      </c>
      <c r="Q114" s="59">
        <v>76062479</v>
      </c>
      <c r="R114" s="4">
        <f t="shared" si="6"/>
        <v>25180621193.912033</v>
      </c>
      <c r="S114" s="4">
        <f t="shared" si="6"/>
        <v>0</v>
      </c>
      <c r="T114" s="4">
        <f t="shared" si="7"/>
        <v>24118787770.072372</v>
      </c>
      <c r="U114" s="4">
        <f t="shared" si="7"/>
        <v>0</v>
      </c>
      <c r="V114" s="4"/>
    </row>
    <row r="115" spans="1:22" ht="15.75">
      <c r="A115" s="52">
        <v>4681</v>
      </c>
      <c r="B115" s="12" t="s">
        <v>728</v>
      </c>
      <c r="C115" s="12" t="s">
        <v>398</v>
      </c>
      <c r="D115" s="12" t="s">
        <v>372</v>
      </c>
      <c r="E115" s="12">
        <v>0</v>
      </c>
      <c r="F115" s="12">
        <v>0</v>
      </c>
      <c r="G115" s="12">
        <v>78.5579</v>
      </c>
      <c r="H115" s="12">
        <v>21.4421</v>
      </c>
      <c r="I115" s="12" t="s">
        <v>401</v>
      </c>
      <c r="J115" s="12">
        <v>42.5565</v>
      </c>
      <c r="K115" s="12">
        <v>1</v>
      </c>
      <c r="L115" s="11">
        <f t="shared" si="8"/>
        <v>4681</v>
      </c>
      <c r="M115" s="57" t="s">
        <v>918</v>
      </c>
      <c r="N115" s="110">
        <v>1335</v>
      </c>
      <c r="O115" s="57">
        <v>1346</v>
      </c>
      <c r="P115" s="58">
        <v>40255.645833333336</v>
      </c>
      <c r="Q115" s="59">
        <v>51705748</v>
      </c>
      <c r="R115" s="4">
        <f t="shared" si="6"/>
        <v>31149483488.070126</v>
      </c>
      <c r="S115" s="4">
        <f t="shared" si="6"/>
        <v>8502140967.357178</v>
      </c>
      <c r="T115" s="4">
        <f t="shared" si="7"/>
        <v>31406145898.833244</v>
      </c>
      <c r="U115" s="4">
        <f t="shared" si="7"/>
        <v>8572196061.470233</v>
      </c>
      <c r="V115" s="4"/>
    </row>
    <row r="116" spans="1:22" ht="15.75">
      <c r="A116" s="52">
        <v>4684</v>
      </c>
      <c r="B116" s="12" t="s">
        <v>733</v>
      </c>
      <c r="C116" s="12" t="s">
        <v>398</v>
      </c>
      <c r="D116" s="12" t="s">
        <v>422</v>
      </c>
      <c r="E116" s="12">
        <v>0</v>
      </c>
      <c r="F116" s="12">
        <v>0</v>
      </c>
      <c r="G116" s="12">
        <v>57.3515</v>
      </c>
      <c r="H116" s="12">
        <v>42.6485</v>
      </c>
      <c r="I116" s="12" t="s">
        <v>401</v>
      </c>
      <c r="J116" s="12">
        <v>51.771</v>
      </c>
      <c r="K116" s="12">
        <v>1</v>
      </c>
      <c r="L116" s="11">
        <f t="shared" si="8"/>
        <v>4684</v>
      </c>
      <c r="M116" s="57" t="s">
        <v>918</v>
      </c>
      <c r="N116" s="110">
        <v>16260</v>
      </c>
      <c r="O116" s="57">
        <v>16280</v>
      </c>
      <c r="P116" s="58">
        <v>40255.645833333336</v>
      </c>
      <c r="Q116" s="59">
        <v>9960000</v>
      </c>
      <c r="R116" s="4">
        <f t="shared" si="6"/>
        <v>44795348327.01276</v>
      </c>
      <c r="S116" s="4">
        <f t="shared" si="6"/>
        <v>33311324256.987236</v>
      </c>
      <c r="T116" s="4">
        <f t="shared" si="7"/>
        <v>44850447156.44328</v>
      </c>
      <c r="U116" s="4">
        <f t="shared" si="7"/>
        <v>33352297595.556717</v>
      </c>
      <c r="V116" s="4"/>
    </row>
    <row r="117" spans="1:22" ht="15.75">
      <c r="A117" s="52">
        <v>4708</v>
      </c>
      <c r="B117" s="12" t="s">
        <v>734</v>
      </c>
      <c r="C117" s="12" t="s">
        <v>398</v>
      </c>
      <c r="D117" s="12" t="s">
        <v>372</v>
      </c>
      <c r="E117" s="12">
        <v>0</v>
      </c>
      <c r="F117" s="12">
        <v>0</v>
      </c>
      <c r="G117" s="12">
        <v>0</v>
      </c>
      <c r="H117" s="12">
        <v>100</v>
      </c>
      <c r="I117" s="12" t="s">
        <v>401</v>
      </c>
      <c r="J117" s="12">
        <v>52.0682</v>
      </c>
      <c r="K117" s="12">
        <v>1</v>
      </c>
      <c r="L117" s="11">
        <f t="shared" si="8"/>
        <v>4708</v>
      </c>
      <c r="M117" s="57" t="s">
        <v>918</v>
      </c>
      <c r="N117" s="110">
        <v>1774</v>
      </c>
      <c r="O117" s="57">
        <v>1779</v>
      </c>
      <c r="P117" s="58">
        <v>40255.645833333336</v>
      </c>
      <c r="Q117" s="59">
        <v>34751520</v>
      </c>
      <c r="R117" s="4">
        <f t="shared" si="6"/>
        <v>0</v>
      </c>
      <c r="S117" s="4">
        <f t="shared" si="6"/>
        <v>29549569558.400642</v>
      </c>
      <c r="T117" s="4">
        <f t="shared" si="7"/>
        <v>0</v>
      </c>
      <c r="U117" s="4">
        <f t="shared" si="7"/>
        <v>29632854703.717445</v>
      </c>
      <c r="V117" s="4"/>
    </row>
    <row r="118" spans="1:22" ht="15.75">
      <c r="A118" s="52">
        <v>4739</v>
      </c>
      <c r="B118" s="12" t="s">
        <v>735</v>
      </c>
      <c r="C118" s="12" t="s">
        <v>398</v>
      </c>
      <c r="D118" s="12" t="s">
        <v>422</v>
      </c>
      <c r="E118" s="12">
        <v>0</v>
      </c>
      <c r="F118" s="12">
        <v>0</v>
      </c>
      <c r="G118" s="12">
        <v>65.4777</v>
      </c>
      <c r="H118" s="12">
        <v>34.5223</v>
      </c>
      <c r="I118" s="12" t="s">
        <v>401</v>
      </c>
      <c r="J118" s="12">
        <v>56.8041</v>
      </c>
      <c r="K118" s="12">
        <v>1</v>
      </c>
      <c r="L118" s="11">
        <f t="shared" si="8"/>
        <v>4739</v>
      </c>
      <c r="M118" s="57" t="s">
        <v>918</v>
      </c>
      <c r="N118" s="110">
        <v>2934</v>
      </c>
      <c r="O118" s="57">
        <v>3015</v>
      </c>
      <c r="P118" s="58">
        <v>40255.645833333336</v>
      </c>
      <c r="Q118" s="59">
        <v>64500000</v>
      </c>
      <c r="R118" s="4">
        <f t="shared" si="6"/>
        <v>53524887975.83575</v>
      </c>
      <c r="S118" s="4">
        <f t="shared" si="6"/>
        <v>28220329061.16425</v>
      </c>
      <c r="T118" s="4">
        <f t="shared" si="7"/>
        <v>55002568932.22386</v>
      </c>
      <c r="U118" s="4">
        <f t="shared" si="7"/>
        <v>28999417900.27615</v>
      </c>
      <c r="V118" s="4"/>
    </row>
    <row r="119" spans="1:22" ht="15.75">
      <c r="A119" s="52">
        <v>4751</v>
      </c>
      <c r="B119" s="12" t="s">
        <v>1156</v>
      </c>
      <c r="C119" s="12" t="s">
        <v>404</v>
      </c>
      <c r="D119" s="12" t="s">
        <v>372</v>
      </c>
      <c r="E119" s="12">
        <v>0</v>
      </c>
      <c r="F119" s="12">
        <v>0</v>
      </c>
      <c r="G119" s="12">
        <v>0</v>
      </c>
      <c r="H119" s="12">
        <v>100</v>
      </c>
      <c r="I119" s="12" t="s">
        <v>401</v>
      </c>
      <c r="J119" s="12">
        <v>28.0195</v>
      </c>
      <c r="K119" s="12">
        <v>1</v>
      </c>
      <c r="L119" s="11">
        <f t="shared" si="8"/>
        <v>4751</v>
      </c>
      <c r="M119" s="57" t="s">
        <v>920</v>
      </c>
      <c r="N119" s="110">
        <v>176700</v>
      </c>
      <c r="O119" s="57">
        <v>179400</v>
      </c>
      <c r="P119" s="58">
        <v>40255.645833333336</v>
      </c>
      <c r="Q119" s="59">
        <v>648343</v>
      </c>
      <c r="R119" s="4">
        <f t="shared" si="6"/>
        <v>0</v>
      </c>
      <c r="S119" s="4">
        <f t="shared" si="6"/>
        <v>82462450201.42052</v>
      </c>
      <c r="T119" s="4">
        <f t="shared" si="7"/>
        <v>0</v>
      </c>
      <c r="U119" s="4">
        <f t="shared" si="7"/>
        <v>83722487640.83101</v>
      </c>
      <c r="V119" s="4"/>
    </row>
    <row r="120" spans="1:22" ht="15.75">
      <c r="A120" s="52">
        <v>4756</v>
      </c>
      <c r="B120" s="12" t="s">
        <v>743</v>
      </c>
      <c r="C120" s="12" t="s">
        <v>398</v>
      </c>
      <c r="D120" s="12" t="s">
        <v>372</v>
      </c>
      <c r="E120" s="12">
        <v>0</v>
      </c>
      <c r="F120" s="12">
        <v>0</v>
      </c>
      <c r="G120" s="12">
        <v>0</v>
      </c>
      <c r="H120" s="12">
        <v>100</v>
      </c>
      <c r="I120" s="12" t="s">
        <v>401</v>
      </c>
      <c r="J120" s="12">
        <v>50.8214</v>
      </c>
      <c r="K120" s="12">
        <v>1</v>
      </c>
      <c r="L120" s="11">
        <f t="shared" si="8"/>
        <v>4756</v>
      </c>
      <c r="M120" s="57" t="s">
        <v>918</v>
      </c>
      <c r="N120" s="110">
        <v>451</v>
      </c>
      <c r="O120" s="57">
        <v>439</v>
      </c>
      <c r="P120" s="58">
        <v>40255.645833333336</v>
      </c>
      <c r="Q120" s="59">
        <v>194196820</v>
      </c>
      <c r="R120" s="4">
        <f t="shared" si="6"/>
        <v>0</v>
      </c>
      <c r="S120" s="4">
        <f t="shared" si="6"/>
        <v>43071978071.55453</v>
      </c>
      <c r="T120" s="4">
        <f t="shared" si="7"/>
        <v>0</v>
      </c>
      <c r="U120" s="4">
        <f t="shared" si="7"/>
        <v>41925938743.70828</v>
      </c>
      <c r="V120" s="4"/>
    </row>
    <row r="121" spans="1:22" ht="15.75">
      <c r="A121" s="52">
        <v>4768</v>
      </c>
      <c r="B121" s="12" t="s">
        <v>757</v>
      </c>
      <c r="C121" s="12" t="s">
        <v>398</v>
      </c>
      <c r="D121" s="12" t="s">
        <v>422</v>
      </c>
      <c r="E121" s="12">
        <v>0</v>
      </c>
      <c r="F121" s="12">
        <v>0</v>
      </c>
      <c r="G121" s="12">
        <v>0</v>
      </c>
      <c r="H121" s="12">
        <v>100</v>
      </c>
      <c r="I121" s="12" t="s">
        <v>401</v>
      </c>
      <c r="J121" s="12">
        <v>52.2313</v>
      </c>
      <c r="K121" s="12">
        <v>1</v>
      </c>
      <c r="L121" s="11">
        <f t="shared" si="8"/>
        <v>4768</v>
      </c>
      <c r="M121" s="57" t="s">
        <v>918</v>
      </c>
      <c r="N121" s="110">
        <v>5540</v>
      </c>
      <c r="O121" s="57">
        <v>5500</v>
      </c>
      <c r="P121" s="58">
        <v>40255.645833333336</v>
      </c>
      <c r="Q121" s="59">
        <v>31667020</v>
      </c>
      <c r="R121" s="4">
        <f t="shared" si="6"/>
        <v>0</v>
      </c>
      <c r="S121" s="4">
        <f t="shared" si="6"/>
        <v>83803157756.3796</v>
      </c>
      <c r="T121" s="4">
        <f t="shared" si="7"/>
        <v>0</v>
      </c>
      <c r="U121" s="4">
        <f t="shared" si="7"/>
        <v>83198080805.07</v>
      </c>
      <c r="V121" s="4"/>
    </row>
    <row r="122" spans="1:22" ht="15.75">
      <c r="A122" s="52">
        <v>4813</v>
      </c>
      <c r="B122" s="12" t="s">
        <v>113</v>
      </c>
      <c r="C122" s="12" t="s">
        <v>404</v>
      </c>
      <c r="D122" s="12" t="s">
        <v>422</v>
      </c>
      <c r="E122" s="12">
        <v>0</v>
      </c>
      <c r="F122" s="12">
        <v>0</v>
      </c>
      <c r="G122" s="12">
        <v>0</v>
      </c>
      <c r="H122" s="12">
        <v>100</v>
      </c>
      <c r="I122" s="12" t="s">
        <v>401</v>
      </c>
      <c r="J122" s="12">
        <v>51.3297</v>
      </c>
      <c r="K122" s="12">
        <v>1</v>
      </c>
      <c r="L122" s="11">
        <f t="shared" si="8"/>
        <v>4813</v>
      </c>
      <c r="M122" s="57" t="s">
        <v>920</v>
      </c>
      <c r="N122" s="110">
        <v>131500</v>
      </c>
      <c r="O122" s="57">
        <v>132400</v>
      </c>
      <c r="P122" s="58">
        <v>40255.645833333336</v>
      </c>
      <c r="Q122" s="59">
        <v>391731</v>
      </c>
      <c r="R122" s="4">
        <f t="shared" si="6"/>
        <v>0</v>
      </c>
      <c r="S122" s="4">
        <f t="shared" si="6"/>
        <v>25071349855.4295</v>
      </c>
      <c r="T122" s="4">
        <f t="shared" si="7"/>
        <v>0</v>
      </c>
      <c r="U122" s="4">
        <f t="shared" si="7"/>
        <v>25242940843.0332</v>
      </c>
      <c r="V122" s="4"/>
    </row>
    <row r="123" spans="1:22" ht="15.75">
      <c r="A123" s="52">
        <v>4912</v>
      </c>
      <c r="B123" s="12" t="s">
        <v>758</v>
      </c>
      <c r="C123" s="12" t="s">
        <v>398</v>
      </c>
      <c r="D123" s="12" t="s">
        <v>681</v>
      </c>
      <c r="E123" s="12">
        <v>0</v>
      </c>
      <c r="F123" s="12">
        <v>0</v>
      </c>
      <c r="G123" s="12">
        <v>0</v>
      </c>
      <c r="H123" s="12">
        <v>100</v>
      </c>
      <c r="I123" s="12" t="s">
        <v>401</v>
      </c>
      <c r="J123" s="12">
        <v>39.8611</v>
      </c>
      <c r="K123" s="12">
        <v>1</v>
      </c>
      <c r="L123" s="11">
        <f t="shared" si="8"/>
        <v>4912</v>
      </c>
      <c r="M123" s="57" t="s">
        <v>918</v>
      </c>
      <c r="N123" s="110">
        <v>459</v>
      </c>
      <c r="O123" s="57">
        <v>459</v>
      </c>
      <c r="P123" s="58">
        <v>40255.645833333336</v>
      </c>
      <c r="Q123" s="59">
        <v>299115346</v>
      </c>
      <c r="R123" s="4">
        <f t="shared" si="6"/>
        <v>0</v>
      </c>
      <c r="S123" s="4">
        <f t="shared" si="6"/>
        <v>82567067576.35765</v>
      </c>
      <c r="T123" s="4">
        <f t="shared" si="7"/>
        <v>0</v>
      </c>
      <c r="U123" s="4">
        <f t="shared" si="7"/>
        <v>82567067576.35765</v>
      </c>
      <c r="V123" s="4"/>
    </row>
    <row r="124" spans="1:22" ht="15.75">
      <c r="A124" s="52">
        <v>4917</v>
      </c>
      <c r="B124" s="12" t="s">
        <v>759</v>
      </c>
      <c r="C124" s="12" t="s">
        <v>398</v>
      </c>
      <c r="D124" s="12" t="s">
        <v>681</v>
      </c>
      <c r="E124" s="12">
        <v>0</v>
      </c>
      <c r="F124" s="12">
        <v>0</v>
      </c>
      <c r="G124" s="12">
        <v>14.8314</v>
      </c>
      <c r="H124" s="12">
        <v>85.1686</v>
      </c>
      <c r="I124" s="12" t="s">
        <v>401</v>
      </c>
      <c r="J124" s="12">
        <v>28.8728</v>
      </c>
      <c r="K124" s="12">
        <v>1</v>
      </c>
      <c r="L124" s="11">
        <f t="shared" si="8"/>
        <v>4917</v>
      </c>
      <c r="M124" s="57" t="s">
        <v>918</v>
      </c>
      <c r="N124" s="110">
        <v>2514</v>
      </c>
      <c r="O124" s="57">
        <v>2532</v>
      </c>
      <c r="P124" s="58">
        <v>40255.645833333336</v>
      </c>
      <c r="Q124" s="59">
        <v>24134606</v>
      </c>
      <c r="R124" s="4">
        <f t="shared" si="6"/>
        <v>6400639201.989493</v>
      </c>
      <c r="S124" s="4">
        <f t="shared" si="6"/>
        <v>36755362267.79416</v>
      </c>
      <c r="T124" s="4">
        <f t="shared" si="7"/>
        <v>6446467167.636196</v>
      </c>
      <c r="U124" s="4">
        <f t="shared" si="7"/>
        <v>37018527152.76643</v>
      </c>
      <c r="V124" s="4"/>
    </row>
    <row r="125" spans="1:22" ht="15.75">
      <c r="A125" s="52">
        <v>4921</v>
      </c>
      <c r="B125" s="12" t="s">
        <v>760</v>
      </c>
      <c r="C125" s="12" t="s">
        <v>398</v>
      </c>
      <c r="D125" s="12" t="s">
        <v>681</v>
      </c>
      <c r="E125" s="12">
        <v>0</v>
      </c>
      <c r="F125" s="12">
        <v>0</v>
      </c>
      <c r="G125" s="12">
        <v>11.5727</v>
      </c>
      <c r="H125" s="12">
        <v>88.4273</v>
      </c>
      <c r="I125" s="12" t="s">
        <v>401</v>
      </c>
      <c r="J125" s="12">
        <v>51.4804</v>
      </c>
      <c r="K125" s="12">
        <v>1</v>
      </c>
      <c r="L125" s="11">
        <f t="shared" si="8"/>
        <v>4921</v>
      </c>
      <c r="M125" s="57" t="s">
        <v>918</v>
      </c>
      <c r="N125" s="110">
        <v>1768</v>
      </c>
      <c r="O125" s="57">
        <v>1769</v>
      </c>
      <c r="P125" s="58">
        <v>40255.645833333336</v>
      </c>
      <c r="Q125" s="59">
        <v>65176600</v>
      </c>
      <c r="R125" s="4">
        <f t="shared" si="6"/>
        <v>6470321623.141634</v>
      </c>
      <c r="S125" s="4">
        <f t="shared" si="6"/>
        <v>49439894861.70317</v>
      </c>
      <c r="T125" s="4">
        <f t="shared" si="7"/>
        <v>6473981307.317618</v>
      </c>
      <c r="U125" s="4">
        <f t="shared" si="7"/>
        <v>49467858603.140785</v>
      </c>
      <c r="V125" s="4"/>
    </row>
    <row r="126" spans="1:22" ht="15.75">
      <c r="A126" s="52">
        <v>4922</v>
      </c>
      <c r="B126" s="12" t="s">
        <v>761</v>
      </c>
      <c r="C126" s="12" t="s">
        <v>398</v>
      </c>
      <c r="D126" s="12" t="s">
        <v>681</v>
      </c>
      <c r="E126" s="12">
        <v>0</v>
      </c>
      <c r="F126" s="12">
        <v>0</v>
      </c>
      <c r="G126" s="12">
        <v>36.3205</v>
      </c>
      <c r="H126" s="12">
        <v>63.6795</v>
      </c>
      <c r="I126" s="12" t="s">
        <v>401</v>
      </c>
      <c r="J126" s="12">
        <v>53.0802</v>
      </c>
      <c r="K126" s="12">
        <v>1</v>
      </c>
      <c r="L126" s="11">
        <f t="shared" si="8"/>
        <v>4922</v>
      </c>
      <c r="M126" s="57" t="s">
        <v>918</v>
      </c>
      <c r="N126" s="110">
        <v>2114</v>
      </c>
      <c r="O126" s="57">
        <v>2128</v>
      </c>
      <c r="P126" s="58">
        <v>40255.645833333336</v>
      </c>
      <c r="Q126" s="59">
        <v>60592541</v>
      </c>
      <c r="R126" s="4">
        <f t="shared" si="6"/>
        <v>21828913459.764633</v>
      </c>
      <c r="S126" s="4">
        <f t="shared" si="6"/>
        <v>38271893136.41282</v>
      </c>
      <c r="T126" s="4">
        <f t="shared" si="7"/>
        <v>21973475800.557774</v>
      </c>
      <c r="U126" s="4">
        <f t="shared" si="7"/>
        <v>38525349382.34933</v>
      </c>
      <c r="V126" s="4"/>
    </row>
    <row r="127" spans="1:22" ht="15.75">
      <c r="A127" s="52">
        <v>4958</v>
      </c>
      <c r="B127" s="12" t="s">
        <v>114</v>
      </c>
      <c r="C127" s="12" t="s">
        <v>398</v>
      </c>
      <c r="D127" s="12" t="s">
        <v>681</v>
      </c>
      <c r="E127" s="12">
        <v>0</v>
      </c>
      <c r="F127" s="12">
        <v>0</v>
      </c>
      <c r="G127" s="12">
        <v>100</v>
      </c>
      <c r="H127" s="12">
        <v>0</v>
      </c>
      <c r="I127" s="12" t="s">
        <v>401</v>
      </c>
      <c r="J127" s="12">
        <v>54.2401</v>
      </c>
      <c r="K127" s="12">
        <v>1</v>
      </c>
      <c r="L127" s="11">
        <f t="shared" si="8"/>
        <v>4958</v>
      </c>
      <c r="M127" s="57" t="s">
        <v>918</v>
      </c>
      <c r="N127" s="110">
        <v>1467</v>
      </c>
      <c r="O127" s="57">
        <v>1472</v>
      </c>
      <c r="P127" s="58">
        <v>40255.645833333336</v>
      </c>
      <c r="Q127" s="59">
        <v>42708154</v>
      </c>
      <c r="R127" s="4">
        <f t="shared" si="6"/>
        <v>28669886960.81488</v>
      </c>
      <c r="S127" s="4">
        <f t="shared" si="6"/>
        <v>0</v>
      </c>
      <c r="T127" s="4">
        <f t="shared" si="7"/>
        <v>28767603003.626106</v>
      </c>
      <c r="U127" s="4">
        <f t="shared" si="7"/>
        <v>0</v>
      </c>
      <c r="V127" s="4"/>
    </row>
    <row r="128" spans="1:22" ht="15.75">
      <c r="A128" s="52">
        <v>4966</v>
      </c>
      <c r="B128" s="12" t="s">
        <v>115</v>
      </c>
      <c r="C128" s="12" t="s">
        <v>404</v>
      </c>
      <c r="D128" s="12" t="s">
        <v>681</v>
      </c>
      <c r="E128" s="12">
        <v>0</v>
      </c>
      <c r="F128" s="12">
        <v>0</v>
      </c>
      <c r="G128" s="12">
        <v>9.5073</v>
      </c>
      <c r="H128" s="12">
        <v>90.4927</v>
      </c>
      <c r="I128" s="12" t="s">
        <v>401</v>
      </c>
      <c r="J128" s="12">
        <v>41.4909</v>
      </c>
      <c r="K128" s="12">
        <v>1</v>
      </c>
      <c r="L128" s="11">
        <f t="shared" si="8"/>
        <v>4966</v>
      </c>
      <c r="M128" s="57" t="s">
        <v>921</v>
      </c>
      <c r="N128" s="110">
        <v>3650</v>
      </c>
      <c r="O128" s="57">
        <v>3775</v>
      </c>
      <c r="P128" s="58">
        <v>40255.645833333336</v>
      </c>
      <c r="Q128" s="59">
        <v>9878040</v>
      </c>
      <c r="R128" s="4">
        <f t="shared" si="6"/>
        <v>2005599722.3044417</v>
      </c>
      <c r="S128" s="4">
        <f t="shared" si="6"/>
        <v>19089766178.681557</v>
      </c>
      <c r="T128" s="4">
        <f t="shared" si="7"/>
        <v>2074284644.3011696</v>
      </c>
      <c r="U128" s="4">
        <f t="shared" si="7"/>
        <v>19743525294.389828</v>
      </c>
      <c r="V128" s="4"/>
    </row>
    <row r="129" spans="1:22" ht="15.75">
      <c r="A129" s="52">
        <v>4985</v>
      </c>
      <c r="B129" s="12" t="s">
        <v>1157</v>
      </c>
      <c r="C129" s="12" t="s">
        <v>398</v>
      </c>
      <c r="D129" s="12" t="s">
        <v>681</v>
      </c>
      <c r="E129" s="12">
        <v>0</v>
      </c>
      <c r="F129" s="12">
        <v>0</v>
      </c>
      <c r="G129" s="12">
        <v>7.7664</v>
      </c>
      <c r="H129" s="12">
        <v>92.2336</v>
      </c>
      <c r="I129" s="12" t="s">
        <v>401</v>
      </c>
      <c r="J129" s="12">
        <v>40.6838</v>
      </c>
      <c r="K129" s="12">
        <v>1</v>
      </c>
      <c r="L129" s="11">
        <f t="shared" si="8"/>
        <v>4985</v>
      </c>
      <c r="M129" s="57" t="s">
        <v>918</v>
      </c>
      <c r="N129" s="110">
        <v>2737</v>
      </c>
      <c r="O129" s="57">
        <v>2715</v>
      </c>
      <c r="P129" s="58">
        <v>40255.645833333336</v>
      </c>
      <c r="Q129" s="59">
        <v>20137500</v>
      </c>
      <c r="R129" s="4">
        <f t="shared" si="6"/>
        <v>2539062704.6589675</v>
      </c>
      <c r="S129" s="4">
        <f t="shared" si="6"/>
        <v>30153854279.51603</v>
      </c>
      <c r="T129" s="4">
        <f t="shared" si="7"/>
        <v>2518653724.205004</v>
      </c>
      <c r="U129" s="4">
        <f t="shared" si="7"/>
        <v>29911477664.92</v>
      </c>
      <c r="V129" s="4"/>
    </row>
    <row r="130" spans="1:22" ht="15.75">
      <c r="A130" s="52">
        <v>4997</v>
      </c>
      <c r="B130" s="12" t="s">
        <v>116</v>
      </c>
      <c r="C130" s="12" t="s">
        <v>398</v>
      </c>
      <c r="D130" s="12" t="s">
        <v>681</v>
      </c>
      <c r="E130" s="12">
        <v>0</v>
      </c>
      <c r="F130" s="12">
        <v>0</v>
      </c>
      <c r="G130" s="12">
        <v>7.1281</v>
      </c>
      <c r="H130" s="12">
        <v>92.8719</v>
      </c>
      <c r="I130" s="12" t="s">
        <v>401</v>
      </c>
      <c r="J130" s="12">
        <v>45.1916</v>
      </c>
      <c r="K130" s="12">
        <v>1</v>
      </c>
      <c r="L130" s="11">
        <f t="shared" si="8"/>
        <v>4997</v>
      </c>
      <c r="M130" s="57" t="s">
        <v>918</v>
      </c>
      <c r="N130" s="110">
        <v>515</v>
      </c>
      <c r="O130" s="57">
        <v>517</v>
      </c>
      <c r="P130" s="58">
        <v>40255.645833333336</v>
      </c>
      <c r="Q130" s="59">
        <v>70026782</v>
      </c>
      <c r="R130" s="4">
        <f t="shared" si="6"/>
        <v>1408939374.5633523</v>
      </c>
      <c r="S130" s="4">
        <f t="shared" si="6"/>
        <v>18357048400.065964</v>
      </c>
      <c r="T130" s="4">
        <f t="shared" si="7"/>
        <v>1414410983.7849576</v>
      </c>
      <c r="U130" s="4">
        <f t="shared" si="7"/>
        <v>18428337908.415737</v>
      </c>
      <c r="V130" s="4"/>
    </row>
    <row r="131" spans="1:22" ht="15.75">
      <c r="A131" s="52">
        <v>5101</v>
      </c>
      <c r="B131" s="12" t="s">
        <v>762</v>
      </c>
      <c r="C131" s="12" t="s">
        <v>398</v>
      </c>
      <c r="D131" s="12" t="s">
        <v>763</v>
      </c>
      <c r="E131" s="12">
        <v>0</v>
      </c>
      <c r="F131" s="12">
        <v>0</v>
      </c>
      <c r="G131" s="12">
        <v>100</v>
      </c>
      <c r="H131" s="12">
        <v>0</v>
      </c>
      <c r="I131" s="12" t="s">
        <v>401</v>
      </c>
      <c r="J131" s="12">
        <v>46.0347</v>
      </c>
      <c r="K131" s="12">
        <v>1</v>
      </c>
      <c r="L131" s="11">
        <f t="shared" si="8"/>
        <v>5101</v>
      </c>
      <c r="M131" s="57" t="s">
        <v>918</v>
      </c>
      <c r="N131" s="110">
        <v>412</v>
      </c>
      <c r="O131" s="57">
        <v>417</v>
      </c>
      <c r="P131" s="58">
        <v>40255.645833333336</v>
      </c>
      <c r="Q131" s="59">
        <v>342598162</v>
      </c>
      <c r="R131" s="4">
        <f t="shared" si="6"/>
        <v>76172259878.12782</v>
      </c>
      <c r="S131" s="4">
        <f t="shared" si="6"/>
        <v>0</v>
      </c>
      <c r="T131" s="4">
        <f t="shared" si="7"/>
        <v>77096680507.71675</v>
      </c>
      <c r="U131" s="4">
        <f t="shared" si="7"/>
        <v>0</v>
      </c>
      <c r="V131" s="4"/>
    </row>
    <row r="132" spans="1:22" ht="15.75">
      <c r="A132" s="52">
        <v>5105</v>
      </c>
      <c r="B132" s="12" t="s">
        <v>765</v>
      </c>
      <c r="C132" s="12" t="s">
        <v>398</v>
      </c>
      <c r="D132" s="12" t="s">
        <v>763</v>
      </c>
      <c r="E132" s="12">
        <v>0</v>
      </c>
      <c r="F132" s="12">
        <v>0</v>
      </c>
      <c r="G132" s="12">
        <v>100</v>
      </c>
      <c r="H132" s="12">
        <v>0</v>
      </c>
      <c r="I132" s="12" t="s">
        <v>401</v>
      </c>
      <c r="J132" s="12">
        <v>49.173</v>
      </c>
      <c r="K132" s="12">
        <v>1</v>
      </c>
      <c r="L132" s="11">
        <f t="shared" si="8"/>
        <v>5105</v>
      </c>
      <c r="M132" s="57" t="s">
        <v>918</v>
      </c>
      <c r="N132" s="110">
        <v>208</v>
      </c>
      <c r="O132" s="57">
        <v>210</v>
      </c>
      <c r="P132" s="58">
        <v>40255.645833333336</v>
      </c>
      <c r="Q132" s="59">
        <v>254358146</v>
      </c>
      <c r="R132" s="4">
        <f t="shared" si="6"/>
        <v>26890783892.423355</v>
      </c>
      <c r="S132" s="4">
        <f t="shared" si="6"/>
        <v>0</v>
      </c>
      <c r="T132" s="4">
        <f t="shared" si="7"/>
        <v>27149349122.1582</v>
      </c>
      <c r="U132" s="4">
        <f t="shared" si="7"/>
        <v>0</v>
      </c>
      <c r="V132" s="4"/>
    </row>
    <row r="133" spans="1:22" ht="15.75">
      <c r="A133" s="52">
        <v>5186</v>
      </c>
      <c r="B133" s="12" t="s">
        <v>117</v>
      </c>
      <c r="C133" s="12" t="s">
        <v>398</v>
      </c>
      <c r="D133" s="12" t="s">
        <v>763</v>
      </c>
      <c r="E133" s="12">
        <v>0</v>
      </c>
      <c r="F133" s="12">
        <v>0</v>
      </c>
      <c r="G133" s="12">
        <v>100</v>
      </c>
      <c r="H133" s="12">
        <v>0</v>
      </c>
      <c r="I133" s="12" t="s">
        <v>401</v>
      </c>
      <c r="J133" s="12">
        <v>37.5656</v>
      </c>
      <c r="K133" s="12">
        <v>1</v>
      </c>
      <c r="L133" s="11">
        <f t="shared" si="8"/>
        <v>5186</v>
      </c>
      <c r="M133" s="57" t="s">
        <v>918</v>
      </c>
      <c r="N133" s="110">
        <v>1392</v>
      </c>
      <c r="O133" s="57">
        <v>1377</v>
      </c>
      <c r="P133" s="58">
        <v>40255.645833333336</v>
      </c>
      <c r="Q133" s="59">
        <v>30272503</v>
      </c>
      <c r="R133" s="4">
        <f t="shared" si="6"/>
        <v>26309434213.34054</v>
      </c>
      <c r="S133" s="4">
        <f t="shared" si="6"/>
        <v>0</v>
      </c>
      <c r="T133" s="4">
        <f t="shared" si="7"/>
        <v>26025927379.145058</v>
      </c>
      <c r="U133" s="4">
        <f t="shared" si="7"/>
        <v>0</v>
      </c>
      <c r="V133" s="4"/>
    </row>
    <row r="134" spans="1:22" ht="15.75">
      <c r="A134" s="52">
        <v>5191</v>
      </c>
      <c r="B134" s="12" t="s">
        <v>766</v>
      </c>
      <c r="C134" s="12" t="s">
        <v>398</v>
      </c>
      <c r="D134" s="12" t="s">
        <v>763</v>
      </c>
      <c r="E134" s="12">
        <v>0</v>
      </c>
      <c r="F134" s="12">
        <v>0</v>
      </c>
      <c r="G134" s="12">
        <v>100</v>
      </c>
      <c r="H134" s="12">
        <v>0</v>
      </c>
      <c r="I134" s="12" t="s">
        <v>401</v>
      </c>
      <c r="J134" s="12">
        <v>67.1707</v>
      </c>
      <c r="K134" s="12">
        <v>1</v>
      </c>
      <c r="L134" s="11">
        <f t="shared" si="8"/>
        <v>5191</v>
      </c>
      <c r="M134" s="57" t="s">
        <v>918</v>
      </c>
      <c r="N134" s="110">
        <v>1257</v>
      </c>
      <c r="O134" s="57">
        <v>1266</v>
      </c>
      <c r="P134" s="58">
        <v>40255.645833333336</v>
      </c>
      <c r="Q134" s="59">
        <v>104042806</v>
      </c>
      <c r="R134" s="4">
        <f t="shared" si="6"/>
        <v>42934751812.0686</v>
      </c>
      <c r="S134" s="4">
        <f t="shared" si="6"/>
        <v>0</v>
      </c>
      <c r="T134" s="4">
        <f t="shared" si="7"/>
        <v>43242160536.26003</v>
      </c>
      <c r="U134" s="4">
        <f t="shared" si="7"/>
        <v>0</v>
      </c>
      <c r="V134" s="4"/>
    </row>
    <row r="135" spans="1:22" ht="15.75">
      <c r="A135" s="52">
        <v>5232</v>
      </c>
      <c r="B135" s="12" t="s">
        <v>767</v>
      </c>
      <c r="C135" s="12" t="s">
        <v>398</v>
      </c>
      <c r="D135" s="12" t="s">
        <v>675</v>
      </c>
      <c r="E135" s="12">
        <v>0</v>
      </c>
      <c r="F135" s="12">
        <v>0</v>
      </c>
      <c r="G135" s="12">
        <v>100</v>
      </c>
      <c r="H135" s="12">
        <v>0</v>
      </c>
      <c r="I135" s="12" t="s">
        <v>401</v>
      </c>
      <c r="J135" s="12">
        <v>16.8218</v>
      </c>
      <c r="K135" s="12">
        <v>1</v>
      </c>
      <c r="L135" s="11">
        <f t="shared" si="8"/>
        <v>5232</v>
      </c>
      <c r="M135" s="57" t="s">
        <v>918</v>
      </c>
      <c r="N135" s="110">
        <v>160</v>
      </c>
      <c r="O135" s="57">
        <v>162</v>
      </c>
      <c r="P135" s="58">
        <v>40255.645833333336</v>
      </c>
      <c r="Q135" s="59">
        <v>427432175</v>
      </c>
      <c r="R135" s="4">
        <f t="shared" si="6"/>
        <v>56884862301.736</v>
      </c>
      <c r="S135" s="4">
        <f t="shared" si="6"/>
        <v>0</v>
      </c>
      <c r="T135" s="4">
        <f t="shared" si="7"/>
        <v>57595923080.50769</v>
      </c>
      <c r="U135" s="4">
        <f t="shared" si="7"/>
        <v>0</v>
      </c>
      <c r="V135" s="4"/>
    </row>
    <row r="136" spans="1:22" ht="15.75">
      <c r="A136" s="52">
        <v>5233</v>
      </c>
      <c r="B136" s="12" t="s">
        <v>1158</v>
      </c>
      <c r="C136" s="12" t="s">
        <v>398</v>
      </c>
      <c r="D136" s="12" t="s">
        <v>675</v>
      </c>
      <c r="E136" s="12">
        <v>0</v>
      </c>
      <c r="F136" s="12">
        <v>0</v>
      </c>
      <c r="G136" s="12">
        <v>100</v>
      </c>
      <c r="H136" s="12">
        <v>0</v>
      </c>
      <c r="I136" s="12" t="s">
        <v>401</v>
      </c>
      <c r="J136" s="12">
        <v>17.3546</v>
      </c>
      <c r="K136" s="12">
        <v>1</v>
      </c>
      <c r="L136" s="11">
        <f t="shared" si="8"/>
        <v>5233</v>
      </c>
      <c r="M136" s="57" t="s">
        <v>918</v>
      </c>
      <c r="N136" s="110">
        <v>123</v>
      </c>
      <c r="O136" s="57">
        <v>127</v>
      </c>
      <c r="P136" s="58">
        <v>40255.645833333336</v>
      </c>
      <c r="Q136" s="59">
        <v>950300586</v>
      </c>
      <c r="R136" s="4">
        <f t="shared" si="6"/>
        <v>96601705621.7514</v>
      </c>
      <c r="S136" s="4">
        <f t="shared" si="6"/>
        <v>0</v>
      </c>
      <c r="T136" s="4">
        <f t="shared" si="7"/>
        <v>99743224503.75958</v>
      </c>
      <c r="U136" s="4">
        <f t="shared" si="7"/>
        <v>0</v>
      </c>
      <c r="V136" s="4"/>
    </row>
    <row r="137" spans="1:22" ht="15.75">
      <c r="A137" s="52">
        <v>5301</v>
      </c>
      <c r="B137" s="12" t="s">
        <v>1159</v>
      </c>
      <c r="C137" s="12" t="s">
        <v>398</v>
      </c>
      <c r="D137" s="12" t="s">
        <v>675</v>
      </c>
      <c r="E137" s="12">
        <v>0</v>
      </c>
      <c r="F137" s="12">
        <v>0</v>
      </c>
      <c r="G137" s="12">
        <v>100</v>
      </c>
      <c r="H137" s="12">
        <v>0</v>
      </c>
      <c r="I137" s="12" t="s">
        <v>401</v>
      </c>
      <c r="J137" s="12">
        <v>23.7324</v>
      </c>
      <c r="K137" s="12">
        <v>1</v>
      </c>
      <c r="L137" s="11">
        <f t="shared" si="8"/>
        <v>5301</v>
      </c>
      <c r="M137" s="57" t="s">
        <v>918</v>
      </c>
      <c r="N137" s="110">
        <v>532</v>
      </c>
      <c r="O137" s="57">
        <v>526</v>
      </c>
      <c r="P137" s="58">
        <v>40255.645833333336</v>
      </c>
      <c r="Q137" s="59">
        <v>224943104</v>
      </c>
      <c r="R137" s="4">
        <f t="shared" si="6"/>
        <v>91269232010.31374</v>
      </c>
      <c r="S137" s="4">
        <f t="shared" si="6"/>
        <v>0</v>
      </c>
      <c r="T137" s="4">
        <f t="shared" si="7"/>
        <v>90239879769.59592</v>
      </c>
      <c r="U137" s="4">
        <f t="shared" si="7"/>
        <v>0</v>
      </c>
      <c r="V137" s="4"/>
    </row>
    <row r="138" spans="1:22" ht="15.75">
      <c r="A138" s="52">
        <v>5302</v>
      </c>
      <c r="B138" s="12" t="s">
        <v>118</v>
      </c>
      <c r="C138" s="12" t="s">
        <v>398</v>
      </c>
      <c r="D138" s="12" t="s">
        <v>675</v>
      </c>
      <c r="E138" s="12">
        <v>0</v>
      </c>
      <c r="F138" s="12">
        <v>0</v>
      </c>
      <c r="G138" s="12">
        <v>15.0689</v>
      </c>
      <c r="H138" s="12">
        <v>84.9311</v>
      </c>
      <c r="I138" s="12" t="s">
        <v>401</v>
      </c>
      <c r="J138" s="12">
        <v>21.3458</v>
      </c>
      <c r="K138" s="12">
        <v>1</v>
      </c>
      <c r="L138" s="11">
        <f t="shared" si="8"/>
        <v>5302</v>
      </c>
      <c r="M138" s="57" t="s">
        <v>918</v>
      </c>
      <c r="N138" s="110">
        <v>289</v>
      </c>
      <c r="O138" s="57">
        <v>285</v>
      </c>
      <c r="P138" s="58">
        <v>40255.645833333336</v>
      </c>
      <c r="Q138" s="59">
        <v>118325045</v>
      </c>
      <c r="R138" s="4">
        <f t="shared" si="6"/>
        <v>4053012937.6223626</v>
      </c>
      <c r="S138" s="4">
        <f t="shared" si="6"/>
        <v>22843528532.70635</v>
      </c>
      <c r="T138" s="4">
        <f t="shared" si="7"/>
        <v>3996915872.7417774</v>
      </c>
      <c r="U138" s="4">
        <f t="shared" si="7"/>
        <v>22527355127.409374</v>
      </c>
      <c r="V138" s="4"/>
    </row>
    <row r="139" spans="1:22" ht="15.75">
      <c r="A139" s="52">
        <v>5310</v>
      </c>
      <c r="B139" s="12" t="s">
        <v>768</v>
      </c>
      <c r="C139" s="12" t="s">
        <v>398</v>
      </c>
      <c r="D139" s="12" t="s">
        <v>675</v>
      </c>
      <c r="E139" s="12">
        <v>0</v>
      </c>
      <c r="F139" s="12">
        <v>0</v>
      </c>
      <c r="G139" s="12">
        <v>0</v>
      </c>
      <c r="H139" s="12">
        <v>100</v>
      </c>
      <c r="I139" s="12" t="s">
        <v>401</v>
      </c>
      <c r="J139" s="12">
        <v>50.7863</v>
      </c>
      <c r="K139" s="12">
        <v>1</v>
      </c>
      <c r="L139" s="11">
        <f t="shared" si="8"/>
        <v>5310</v>
      </c>
      <c r="M139" s="57" t="s">
        <v>918</v>
      </c>
      <c r="N139" s="110">
        <v>5020</v>
      </c>
      <c r="O139" s="57">
        <v>4890</v>
      </c>
      <c r="P139" s="58">
        <v>40255.645833333336</v>
      </c>
      <c r="Q139" s="59">
        <v>20750688</v>
      </c>
      <c r="R139" s="4">
        <f t="shared" si="6"/>
        <v>0</v>
      </c>
      <c r="S139" s="4">
        <f t="shared" si="6"/>
        <v>51265150328.08512</v>
      </c>
      <c r="T139" s="4">
        <f t="shared" si="7"/>
        <v>0</v>
      </c>
      <c r="U139" s="4">
        <f t="shared" si="7"/>
        <v>49937566753.851845</v>
      </c>
      <c r="V139" s="4"/>
    </row>
    <row r="140" spans="1:22" ht="15.75">
      <c r="A140" s="52">
        <v>5393</v>
      </c>
      <c r="B140" s="12" t="s">
        <v>119</v>
      </c>
      <c r="C140" s="12" t="s">
        <v>398</v>
      </c>
      <c r="D140" s="12" t="s">
        <v>675</v>
      </c>
      <c r="E140" s="12">
        <v>0</v>
      </c>
      <c r="F140" s="12">
        <v>0</v>
      </c>
      <c r="G140" s="12">
        <v>22.4997</v>
      </c>
      <c r="H140" s="12">
        <v>77.5003</v>
      </c>
      <c r="I140" s="12" t="s">
        <v>401</v>
      </c>
      <c r="J140" s="12">
        <v>37.6496</v>
      </c>
      <c r="K140" s="12">
        <v>1</v>
      </c>
      <c r="L140" s="11">
        <f t="shared" si="8"/>
        <v>5393</v>
      </c>
      <c r="M140" s="57" t="s">
        <v>918</v>
      </c>
      <c r="N140" s="110">
        <v>395</v>
      </c>
      <c r="O140" s="57">
        <v>401</v>
      </c>
      <c r="P140" s="58">
        <v>40255.645833333336</v>
      </c>
      <c r="Q140" s="59">
        <v>125057344</v>
      </c>
      <c r="R140" s="4">
        <f t="shared" si="6"/>
        <v>6929825006.815049</v>
      </c>
      <c r="S140" s="4">
        <f t="shared" si="6"/>
        <v>23869807907.468468</v>
      </c>
      <c r="T140" s="4">
        <f t="shared" si="7"/>
        <v>7035088171.475532</v>
      </c>
      <c r="U140" s="4">
        <f t="shared" si="7"/>
        <v>24232387268.088245</v>
      </c>
      <c r="V140" s="4"/>
    </row>
    <row r="141" spans="1:22" ht="15.75">
      <c r="A141" s="52">
        <v>5407</v>
      </c>
      <c r="B141" s="12" t="s">
        <v>1160</v>
      </c>
      <c r="C141" s="12" t="s">
        <v>398</v>
      </c>
      <c r="D141" s="12" t="s">
        <v>769</v>
      </c>
      <c r="E141" s="12">
        <v>0</v>
      </c>
      <c r="F141" s="12">
        <v>0</v>
      </c>
      <c r="G141" s="12">
        <v>100</v>
      </c>
      <c r="H141" s="12">
        <v>0</v>
      </c>
      <c r="I141" s="12" t="s">
        <v>401</v>
      </c>
      <c r="J141" s="12">
        <v>44.4769</v>
      </c>
      <c r="K141" s="12">
        <v>1</v>
      </c>
      <c r="L141" s="11">
        <f t="shared" si="8"/>
        <v>5407</v>
      </c>
      <c r="M141" s="57" t="s">
        <v>918</v>
      </c>
      <c r="N141" s="110">
        <v>183</v>
      </c>
      <c r="O141" s="57">
        <v>186</v>
      </c>
      <c r="P141" s="58">
        <v>40255.645833333336</v>
      </c>
      <c r="Q141" s="59">
        <v>994500174</v>
      </c>
      <c r="R141" s="4">
        <f t="shared" si="6"/>
        <v>101048450678.16548</v>
      </c>
      <c r="S141" s="4">
        <f t="shared" si="6"/>
        <v>0</v>
      </c>
      <c r="T141" s="4">
        <f t="shared" si="7"/>
        <v>102704982656.49608</v>
      </c>
      <c r="U141" s="4">
        <f t="shared" si="7"/>
        <v>0</v>
      </c>
      <c r="V141" s="4"/>
    </row>
    <row r="142" spans="1:22" ht="15.75">
      <c r="A142" s="52">
        <v>5440</v>
      </c>
      <c r="B142" s="12" t="s">
        <v>120</v>
      </c>
      <c r="C142" s="12" t="s">
        <v>398</v>
      </c>
      <c r="D142" s="12" t="s">
        <v>769</v>
      </c>
      <c r="E142" s="12">
        <v>0</v>
      </c>
      <c r="F142" s="12">
        <v>0</v>
      </c>
      <c r="G142" s="12">
        <v>100</v>
      </c>
      <c r="H142" s="12">
        <v>0</v>
      </c>
      <c r="I142" s="12" t="s">
        <v>401</v>
      </c>
      <c r="J142" s="12">
        <v>70.67</v>
      </c>
      <c r="K142" s="12">
        <v>1</v>
      </c>
      <c r="L142" s="11">
        <f t="shared" si="8"/>
        <v>5440</v>
      </c>
      <c r="M142" s="57" t="s">
        <v>918</v>
      </c>
      <c r="N142" s="110">
        <v>1883</v>
      </c>
      <c r="O142" s="57">
        <v>1854</v>
      </c>
      <c r="P142" s="58">
        <v>40255.645833333336</v>
      </c>
      <c r="Q142" s="59">
        <v>44898730</v>
      </c>
      <c r="R142" s="4">
        <f t="shared" si="6"/>
        <v>24796845709.447</v>
      </c>
      <c r="S142" s="4">
        <f t="shared" si="6"/>
        <v>0</v>
      </c>
      <c r="T142" s="4">
        <f t="shared" si="7"/>
        <v>24414950581.686</v>
      </c>
      <c r="U142" s="4">
        <f t="shared" si="7"/>
        <v>0</v>
      </c>
      <c r="V142" s="4"/>
    </row>
    <row r="143" spans="1:22" ht="15.75">
      <c r="A143" s="52">
        <v>5451</v>
      </c>
      <c r="B143" s="12" t="s">
        <v>770</v>
      </c>
      <c r="C143" s="12" t="s">
        <v>398</v>
      </c>
      <c r="D143" s="12" t="s">
        <v>769</v>
      </c>
      <c r="E143" s="12">
        <v>0</v>
      </c>
      <c r="F143" s="12">
        <v>0</v>
      </c>
      <c r="G143" s="12">
        <v>100</v>
      </c>
      <c r="H143" s="12">
        <v>0</v>
      </c>
      <c r="I143" s="12" t="s">
        <v>401</v>
      </c>
      <c r="J143" s="12">
        <v>44.2383</v>
      </c>
      <c r="K143" s="12">
        <v>1</v>
      </c>
      <c r="L143" s="11">
        <f t="shared" si="8"/>
        <v>5451</v>
      </c>
      <c r="M143" s="57" t="s">
        <v>918</v>
      </c>
      <c r="N143" s="110">
        <v>402</v>
      </c>
      <c r="O143" s="57">
        <v>404</v>
      </c>
      <c r="P143" s="58">
        <v>40255.645833333336</v>
      </c>
      <c r="Q143" s="59">
        <v>184186153</v>
      </c>
      <c r="R143" s="4">
        <f t="shared" si="6"/>
        <v>41287542691.1152</v>
      </c>
      <c r="S143" s="4">
        <f t="shared" si="6"/>
        <v>0</v>
      </c>
      <c r="T143" s="4">
        <f t="shared" si="7"/>
        <v>41492953351.270004</v>
      </c>
      <c r="U143" s="4">
        <f t="shared" si="7"/>
        <v>0</v>
      </c>
      <c r="V143" s="4"/>
    </row>
    <row r="144" spans="1:22" ht="15.75">
      <c r="A144" s="52">
        <v>5463</v>
      </c>
      <c r="B144" s="12" t="s">
        <v>771</v>
      </c>
      <c r="C144" s="12" t="s">
        <v>398</v>
      </c>
      <c r="D144" s="12" t="s">
        <v>769</v>
      </c>
      <c r="E144" s="12">
        <v>0</v>
      </c>
      <c r="F144" s="12">
        <v>0</v>
      </c>
      <c r="G144" s="12">
        <v>100</v>
      </c>
      <c r="H144" s="12">
        <v>0</v>
      </c>
      <c r="I144" s="12" t="s">
        <v>401</v>
      </c>
      <c r="J144" s="12">
        <v>51.4804</v>
      </c>
      <c r="K144" s="12">
        <v>1</v>
      </c>
      <c r="L144" s="11">
        <f t="shared" si="8"/>
        <v>5463</v>
      </c>
      <c r="M144" s="57" t="s">
        <v>918</v>
      </c>
      <c r="N144" s="110">
        <v>1829</v>
      </c>
      <c r="O144" s="57">
        <v>1817</v>
      </c>
      <c r="P144" s="58">
        <v>40255.645833333336</v>
      </c>
      <c r="Q144" s="59">
        <v>94000000</v>
      </c>
      <c r="R144" s="4">
        <f aca="true" t="shared" si="9" ref="R144:S206">(E144+G144)*(100-$J144)*$N144*$Q144/10000</f>
        <v>83417807496</v>
      </c>
      <c r="S144" s="4">
        <f t="shared" si="9"/>
        <v>0</v>
      </c>
      <c r="T144" s="4">
        <f t="shared" si="7"/>
        <v>82870506408</v>
      </c>
      <c r="U144" s="4">
        <f t="shared" si="7"/>
        <v>0</v>
      </c>
      <c r="V144" s="4"/>
    </row>
    <row r="145" spans="1:22" ht="15.75">
      <c r="A145" s="52">
        <v>5471</v>
      </c>
      <c r="B145" s="12" t="s">
        <v>1161</v>
      </c>
      <c r="C145" s="12" t="s">
        <v>398</v>
      </c>
      <c r="D145" s="12" t="s">
        <v>769</v>
      </c>
      <c r="E145" s="12">
        <v>0</v>
      </c>
      <c r="F145" s="12">
        <v>0</v>
      </c>
      <c r="G145" s="12">
        <v>100</v>
      </c>
      <c r="H145" s="12">
        <v>0</v>
      </c>
      <c r="I145" s="12" t="s">
        <v>401</v>
      </c>
      <c r="J145" s="12">
        <v>48.7964</v>
      </c>
      <c r="K145" s="12">
        <v>1</v>
      </c>
      <c r="L145" s="11">
        <f t="shared" si="8"/>
        <v>5471</v>
      </c>
      <c r="M145" s="57" t="s">
        <v>918</v>
      </c>
      <c r="N145" s="110">
        <v>366</v>
      </c>
      <c r="O145" s="57">
        <v>367</v>
      </c>
      <c r="P145" s="58">
        <v>40255.645833333336</v>
      </c>
      <c r="Q145" s="59">
        <v>434487693</v>
      </c>
      <c r="R145" s="4">
        <f t="shared" si="9"/>
        <v>81425242576.49898</v>
      </c>
      <c r="S145" s="4">
        <f t="shared" si="9"/>
        <v>0</v>
      </c>
      <c r="T145" s="4">
        <f aca="true" t="shared" si="10" ref="T145:U207">(E145+G145)*(100-$J145)*$O145*$Q145/10000</f>
        <v>81647715916.87192</v>
      </c>
      <c r="U145" s="4">
        <f t="shared" si="10"/>
        <v>0</v>
      </c>
      <c r="V145" s="4"/>
    </row>
    <row r="146" spans="1:22" ht="15.75">
      <c r="A146" s="52">
        <v>5480</v>
      </c>
      <c r="B146" s="12" t="s">
        <v>772</v>
      </c>
      <c r="C146" s="12" t="s">
        <v>398</v>
      </c>
      <c r="D146" s="12" t="s">
        <v>769</v>
      </c>
      <c r="E146" s="12">
        <v>0</v>
      </c>
      <c r="F146" s="12">
        <v>0</v>
      </c>
      <c r="G146" s="12">
        <v>82.749</v>
      </c>
      <c r="H146" s="12">
        <v>17.251</v>
      </c>
      <c r="I146" s="12" t="s">
        <v>401</v>
      </c>
      <c r="J146" s="12">
        <v>15.8442</v>
      </c>
      <c r="K146" s="12">
        <v>1</v>
      </c>
      <c r="L146" s="11">
        <f aca="true" t="shared" si="11" ref="L146:L208">A146</f>
        <v>5480</v>
      </c>
      <c r="M146" s="57" t="s">
        <v>918</v>
      </c>
      <c r="N146" s="110">
        <v>337</v>
      </c>
      <c r="O146" s="57">
        <v>332</v>
      </c>
      <c r="P146" s="58">
        <v>40255.645833333336</v>
      </c>
      <c r="Q146" s="59">
        <v>123973338</v>
      </c>
      <c r="R146" s="4">
        <f t="shared" si="9"/>
        <v>29094105052.59082</v>
      </c>
      <c r="S146" s="4">
        <f t="shared" si="9"/>
        <v>6065359173.672725</v>
      </c>
      <c r="T146" s="4">
        <f t="shared" si="10"/>
        <v>28662441772.878788</v>
      </c>
      <c r="U146" s="4">
        <f t="shared" si="10"/>
        <v>5975368681.481735</v>
      </c>
      <c r="V146" s="4"/>
    </row>
    <row r="147" spans="1:22" ht="15.75">
      <c r="A147" s="52">
        <v>5481</v>
      </c>
      <c r="B147" s="12" t="s">
        <v>773</v>
      </c>
      <c r="C147" s="12" t="s">
        <v>398</v>
      </c>
      <c r="D147" s="12" t="s">
        <v>769</v>
      </c>
      <c r="E147" s="12">
        <v>0</v>
      </c>
      <c r="F147" s="12">
        <v>0</v>
      </c>
      <c r="G147" s="12">
        <v>100</v>
      </c>
      <c r="H147" s="12">
        <v>0</v>
      </c>
      <c r="I147" s="12" t="s">
        <v>401</v>
      </c>
      <c r="J147" s="12">
        <v>40.083</v>
      </c>
      <c r="K147" s="12">
        <v>1</v>
      </c>
      <c r="L147" s="11">
        <f t="shared" si="11"/>
        <v>5481</v>
      </c>
      <c r="M147" s="57" t="s">
        <v>918</v>
      </c>
      <c r="N147" s="110">
        <v>381</v>
      </c>
      <c r="O147" s="57">
        <v>385</v>
      </c>
      <c r="P147" s="58">
        <v>40255.645833333336</v>
      </c>
      <c r="Q147" s="59">
        <v>167124036</v>
      </c>
      <c r="R147" s="4">
        <f t="shared" si="9"/>
        <v>38151704995.69571</v>
      </c>
      <c r="S147" s="4">
        <f t="shared" si="9"/>
        <v>0</v>
      </c>
      <c r="T147" s="4">
        <f t="shared" si="10"/>
        <v>38552247830.2962</v>
      </c>
      <c r="U147" s="4">
        <f t="shared" si="10"/>
        <v>0</v>
      </c>
      <c r="V147" s="4"/>
    </row>
    <row r="148" spans="1:22" ht="15.75">
      <c r="A148" s="52">
        <v>5482</v>
      </c>
      <c r="B148" s="12" t="s">
        <v>774</v>
      </c>
      <c r="C148" s="12" t="s">
        <v>398</v>
      </c>
      <c r="D148" s="12" t="s">
        <v>769</v>
      </c>
      <c r="E148" s="12">
        <v>0</v>
      </c>
      <c r="F148" s="12">
        <v>0</v>
      </c>
      <c r="G148" s="12">
        <v>100</v>
      </c>
      <c r="H148" s="12">
        <v>0</v>
      </c>
      <c r="I148" s="12" t="s">
        <v>401</v>
      </c>
      <c r="J148" s="12">
        <v>59.1511</v>
      </c>
      <c r="K148" s="12">
        <v>1</v>
      </c>
      <c r="L148" s="11">
        <f t="shared" si="11"/>
        <v>5482</v>
      </c>
      <c r="M148" s="57" t="s">
        <v>918</v>
      </c>
      <c r="N148" s="110">
        <v>407</v>
      </c>
      <c r="O148" s="57">
        <v>404</v>
      </c>
      <c r="P148" s="58">
        <v>40255.645833333336</v>
      </c>
      <c r="Q148" s="59">
        <v>198866751</v>
      </c>
      <c r="R148" s="4">
        <f t="shared" si="9"/>
        <v>33062596261.440273</v>
      </c>
      <c r="S148" s="4">
        <f t="shared" si="9"/>
        <v>0</v>
      </c>
      <c r="T148" s="4">
        <f t="shared" si="10"/>
        <v>32818891620.692554</v>
      </c>
      <c r="U148" s="4">
        <f t="shared" si="10"/>
        <v>0</v>
      </c>
      <c r="V148" s="4"/>
    </row>
    <row r="149" spans="1:22" ht="15.75">
      <c r="A149" s="52">
        <v>5563</v>
      </c>
      <c r="B149" s="12" t="s">
        <v>775</v>
      </c>
      <c r="C149" s="12" t="s">
        <v>398</v>
      </c>
      <c r="D149" s="12" t="s">
        <v>769</v>
      </c>
      <c r="E149" s="12">
        <v>0</v>
      </c>
      <c r="F149" s="12">
        <v>0</v>
      </c>
      <c r="G149" s="12">
        <v>0</v>
      </c>
      <c r="H149" s="12">
        <v>100</v>
      </c>
      <c r="I149" s="12" t="s">
        <v>401</v>
      </c>
      <c r="J149" s="12">
        <v>29.169</v>
      </c>
      <c r="K149" s="12">
        <v>1</v>
      </c>
      <c r="L149" s="11">
        <f t="shared" si="11"/>
        <v>5563</v>
      </c>
      <c r="M149" s="57" t="s">
        <v>918</v>
      </c>
      <c r="N149" s="110">
        <v>647</v>
      </c>
      <c r="O149" s="57">
        <v>645</v>
      </c>
      <c r="P149" s="58">
        <v>40255.645833333336</v>
      </c>
      <c r="Q149" s="59">
        <v>110433614</v>
      </c>
      <c r="R149" s="4">
        <f t="shared" si="9"/>
        <v>0</v>
      </c>
      <c r="S149" s="4">
        <f t="shared" si="9"/>
        <v>50609137836.62398</v>
      </c>
      <c r="T149" s="4">
        <f t="shared" si="10"/>
        <v>0</v>
      </c>
      <c r="U149" s="4">
        <f t="shared" si="10"/>
        <v>50452695370.3593</v>
      </c>
      <c r="V149" s="4"/>
    </row>
    <row r="150" spans="1:22" ht="15.75">
      <c r="A150" s="52">
        <v>5701</v>
      </c>
      <c r="B150" s="12" t="s">
        <v>777</v>
      </c>
      <c r="C150" s="12" t="s">
        <v>398</v>
      </c>
      <c r="D150" s="12" t="s">
        <v>778</v>
      </c>
      <c r="E150" s="12">
        <v>0</v>
      </c>
      <c r="F150" s="12">
        <v>0</v>
      </c>
      <c r="G150" s="12">
        <v>100</v>
      </c>
      <c r="H150" s="12">
        <v>0</v>
      </c>
      <c r="I150" s="12" t="s">
        <v>401</v>
      </c>
      <c r="J150" s="12">
        <v>23.6638</v>
      </c>
      <c r="K150" s="12">
        <v>1</v>
      </c>
      <c r="L150" s="11">
        <f t="shared" si="11"/>
        <v>5701</v>
      </c>
      <c r="M150" s="57" t="s">
        <v>918</v>
      </c>
      <c r="N150" s="110">
        <v>128</v>
      </c>
      <c r="O150" s="57">
        <v>128</v>
      </c>
      <c r="P150" s="58">
        <v>40255.645833333336</v>
      </c>
      <c r="Q150" s="59">
        <v>545126049</v>
      </c>
      <c r="R150" s="4">
        <f t="shared" si="9"/>
        <v>53264449410.14247</v>
      </c>
      <c r="S150" s="4">
        <f t="shared" si="9"/>
        <v>0</v>
      </c>
      <c r="T150" s="4">
        <f t="shared" si="10"/>
        <v>53264449410.14247</v>
      </c>
      <c r="U150" s="4">
        <f t="shared" si="10"/>
        <v>0</v>
      </c>
      <c r="V150" s="4"/>
    </row>
    <row r="151" spans="1:22" ht="15.75">
      <c r="A151" s="52">
        <v>5707</v>
      </c>
      <c r="B151" s="12" t="s">
        <v>121</v>
      </c>
      <c r="C151" s="12" t="s">
        <v>398</v>
      </c>
      <c r="D151" s="12" t="s">
        <v>778</v>
      </c>
      <c r="E151" s="12">
        <v>0</v>
      </c>
      <c r="F151" s="12">
        <v>0</v>
      </c>
      <c r="G151" s="12">
        <v>45.1025</v>
      </c>
      <c r="H151" s="12">
        <v>54.8975</v>
      </c>
      <c r="I151" s="12" t="s">
        <v>401</v>
      </c>
      <c r="J151" s="12">
        <v>42.9781</v>
      </c>
      <c r="K151" s="12">
        <v>1</v>
      </c>
      <c r="L151" s="11">
        <f t="shared" si="11"/>
        <v>5707</v>
      </c>
      <c r="M151" s="57" t="s">
        <v>918</v>
      </c>
      <c r="N151" s="110">
        <v>456</v>
      </c>
      <c r="O151" s="57">
        <v>433</v>
      </c>
      <c r="P151" s="58">
        <v>40255.645833333336</v>
      </c>
      <c r="Q151" s="59">
        <v>135855217</v>
      </c>
      <c r="R151" s="4">
        <f t="shared" si="9"/>
        <v>15932482953.03795</v>
      </c>
      <c r="S151" s="4">
        <f t="shared" si="9"/>
        <v>19392572094.99254</v>
      </c>
      <c r="T151" s="4">
        <f t="shared" si="10"/>
        <v>15128870874.2663</v>
      </c>
      <c r="U151" s="4">
        <f t="shared" si="10"/>
        <v>18414437976.16616</v>
      </c>
      <c r="V151" s="4"/>
    </row>
    <row r="152" spans="1:22" ht="15.75">
      <c r="A152" s="52">
        <v>5715</v>
      </c>
      <c r="B152" s="12" t="s">
        <v>779</v>
      </c>
      <c r="C152" s="12" t="s">
        <v>398</v>
      </c>
      <c r="D152" s="12" t="s">
        <v>778</v>
      </c>
      <c r="E152" s="12">
        <v>0</v>
      </c>
      <c r="F152" s="12">
        <v>0</v>
      </c>
      <c r="G152" s="12">
        <v>81.5528</v>
      </c>
      <c r="H152" s="12">
        <v>18.4472</v>
      </c>
      <c r="I152" s="12" t="s">
        <v>401</v>
      </c>
      <c r="J152" s="12">
        <v>34.6938</v>
      </c>
      <c r="K152" s="12">
        <v>1</v>
      </c>
      <c r="L152" s="11">
        <f t="shared" si="11"/>
        <v>5715</v>
      </c>
      <c r="M152" s="57" t="s">
        <v>918</v>
      </c>
      <c r="N152" s="110">
        <v>108</v>
      </c>
      <c r="O152" s="57">
        <v>111</v>
      </c>
      <c r="P152" s="58">
        <v>40255.645833333336</v>
      </c>
      <c r="Q152" s="59">
        <v>404455680</v>
      </c>
      <c r="R152" s="4">
        <f t="shared" si="9"/>
        <v>23264192611.858826</v>
      </c>
      <c r="S152" s="4">
        <f t="shared" si="9"/>
        <v>5262347999.694455</v>
      </c>
      <c r="T152" s="4">
        <f t="shared" si="10"/>
        <v>23910420184.410458</v>
      </c>
      <c r="U152" s="4">
        <f t="shared" si="10"/>
        <v>5408524333.019301</v>
      </c>
      <c r="V152" s="4"/>
    </row>
    <row r="153" spans="1:22" ht="15.75">
      <c r="A153" s="52">
        <v>5726</v>
      </c>
      <c r="B153" s="12" t="s">
        <v>782</v>
      </c>
      <c r="C153" s="12" t="s">
        <v>398</v>
      </c>
      <c r="D153" s="12" t="s">
        <v>778</v>
      </c>
      <c r="E153" s="12">
        <v>0</v>
      </c>
      <c r="F153" s="12">
        <v>0</v>
      </c>
      <c r="G153" s="12">
        <v>0</v>
      </c>
      <c r="H153" s="12">
        <v>100</v>
      </c>
      <c r="I153" s="12" t="s">
        <v>401</v>
      </c>
      <c r="J153" s="12">
        <v>51.6399</v>
      </c>
      <c r="K153" s="12">
        <v>1</v>
      </c>
      <c r="L153" s="11">
        <f t="shared" si="11"/>
        <v>5726</v>
      </c>
      <c r="M153" s="57" t="s">
        <v>918</v>
      </c>
      <c r="N153" s="110">
        <v>3135</v>
      </c>
      <c r="O153" s="57">
        <v>2965</v>
      </c>
      <c r="P153" s="58">
        <v>40255.645833333336</v>
      </c>
      <c r="Q153" s="59">
        <v>36800000</v>
      </c>
      <c r="R153" s="4">
        <f t="shared" si="9"/>
        <v>0</v>
      </c>
      <c r="S153" s="4">
        <f t="shared" si="9"/>
        <v>55792080168.00001</v>
      </c>
      <c r="T153" s="4">
        <f t="shared" si="10"/>
        <v>0</v>
      </c>
      <c r="U153" s="4">
        <f t="shared" si="10"/>
        <v>52766672312</v>
      </c>
      <c r="V153" s="4"/>
    </row>
    <row r="154" spans="1:22" ht="15.75">
      <c r="A154" s="52">
        <v>5727</v>
      </c>
      <c r="B154" s="12" t="s">
        <v>783</v>
      </c>
      <c r="C154" s="12" t="s">
        <v>398</v>
      </c>
      <c r="D154" s="12" t="s">
        <v>778</v>
      </c>
      <c r="E154" s="12">
        <v>0</v>
      </c>
      <c r="F154" s="12">
        <v>0</v>
      </c>
      <c r="G154" s="12">
        <v>0</v>
      </c>
      <c r="H154" s="12">
        <v>100</v>
      </c>
      <c r="I154" s="12" t="s">
        <v>401</v>
      </c>
      <c r="J154" s="12">
        <v>53.0125</v>
      </c>
      <c r="K154" s="12">
        <v>1</v>
      </c>
      <c r="L154" s="11">
        <f t="shared" si="11"/>
        <v>5727</v>
      </c>
      <c r="M154" s="57" t="s">
        <v>918</v>
      </c>
      <c r="N154" s="110">
        <v>1785</v>
      </c>
      <c r="O154" s="57">
        <v>1695</v>
      </c>
      <c r="P154" s="58">
        <v>40255.645833333336</v>
      </c>
      <c r="Q154" s="59">
        <v>60770910</v>
      </c>
      <c r="R154" s="4">
        <f t="shared" si="9"/>
        <v>0</v>
      </c>
      <c r="S154" s="4">
        <f t="shared" si="9"/>
        <v>50970195435.20625</v>
      </c>
      <c r="T154" s="4">
        <f t="shared" si="10"/>
        <v>0</v>
      </c>
      <c r="U154" s="4">
        <f t="shared" si="10"/>
        <v>48400269614.94375</v>
      </c>
      <c r="V154" s="4"/>
    </row>
    <row r="155" spans="1:22" ht="15.75">
      <c r="A155" s="52">
        <v>5812</v>
      </c>
      <c r="B155" s="12" t="s">
        <v>784</v>
      </c>
      <c r="C155" s="12" t="s">
        <v>398</v>
      </c>
      <c r="D155" s="12" t="s">
        <v>778</v>
      </c>
      <c r="E155" s="12">
        <v>0</v>
      </c>
      <c r="F155" s="12">
        <v>0</v>
      </c>
      <c r="G155" s="12">
        <v>100</v>
      </c>
      <c r="H155" s="12">
        <v>0</v>
      </c>
      <c r="I155" s="12" t="s">
        <v>401</v>
      </c>
      <c r="J155" s="12">
        <v>58.8709</v>
      </c>
      <c r="K155" s="12">
        <v>1</v>
      </c>
      <c r="L155" s="11">
        <f t="shared" si="11"/>
        <v>5812</v>
      </c>
      <c r="M155" s="57" t="s">
        <v>918</v>
      </c>
      <c r="N155" s="110">
        <v>268</v>
      </c>
      <c r="O155" s="57">
        <v>269</v>
      </c>
      <c r="P155" s="58">
        <v>40255.645833333336</v>
      </c>
      <c r="Q155" s="59">
        <v>374018174</v>
      </c>
      <c r="R155" s="4">
        <f t="shared" si="9"/>
        <v>41226522759.1059</v>
      </c>
      <c r="S155" s="4">
        <f t="shared" si="9"/>
        <v>0</v>
      </c>
      <c r="T155" s="4">
        <f t="shared" si="10"/>
        <v>41380353067.90855</v>
      </c>
      <c r="U155" s="4">
        <f t="shared" si="10"/>
        <v>0</v>
      </c>
      <c r="V155" s="4"/>
    </row>
    <row r="156" spans="1:22" ht="15.75">
      <c r="A156" s="52">
        <v>5857</v>
      </c>
      <c r="B156" s="12" t="s">
        <v>122</v>
      </c>
      <c r="C156" s="12" t="s">
        <v>398</v>
      </c>
      <c r="D156" s="12" t="s">
        <v>778</v>
      </c>
      <c r="E156" s="12">
        <v>0</v>
      </c>
      <c r="F156" s="12">
        <v>0</v>
      </c>
      <c r="G156" s="12">
        <v>0</v>
      </c>
      <c r="H156" s="12">
        <v>100</v>
      </c>
      <c r="I156" s="12" t="s">
        <v>401</v>
      </c>
      <c r="J156" s="12">
        <v>47.7207</v>
      </c>
      <c r="K156" s="12">
        <v>1</v>
      </c>
      <c r="L156" s="11">
        <f t="shared" si="11"/>
        <v>5857</v>
      </c>
      <c r="M156" s="57" t="s">
        <v>918</v>
      </c>
      <c r="N156" s="110">
        <v>1506</v>
      </c>
      <c r="O156" s="57">
        <v>1451</v>
      </c>
      <c r="P156" s="58">
        <v>40255.645833333336</v>
      </c>
      <c r="Q156" s="59">
        <v>36254344</v>
      </c>
      <c r="R156" s="4">
        <f t="shared" si="9"/>
        <v>0</v>
      </c>
      <c r="S156" s="4">
        <f t="shared" si="9"/>
        <v>28543996997.76475</v>
      </c>
      <c r="T156" s="4">
        <f t="shared" si="10"/>
        <v>0</v>
      </c>
      <c r="U156" s="4">
        <f t="shared" si="10"/>
        <v>27501553548.311195</v>
      </c>
      <c r="V156" s="4"/>
    </row>
    <row r="157" spans="1:22" ht="15.75">
      <c r="A157" s="52">
        <v>5929</v>
      </c>
      <c r="B157" s="12" t="s">
        <v>785</v>
      </c>
      <c r="C157" s="12" t="s">
        <v>398</v>
      </c>
      <c r="D157" s="12" t="s">
        <v>682</v>
      </c>
      <c r="E157" s="12">
        <v>0</v>
      </c>
      <c r="F157" s="12">
        <v>0</v>
      </c>
      <c r="G157" s="12">
        <v>100</v>
      </c>
      <c r="H157" s="12">
        <v>0</v>
      </c>
      <c r="I157" s="12" t="s">
        <v>401</v>
      </c>
      <c r="J157" s="12">
        <v>34.8593</v>
      </c>
      <c r="K157" s="12">
        <v>1</v>
      </c>
      <c r="L157" s="11">
        <f t="shared" si="11"/>
        <v>5929</v>
      </c>
      <c r="M157" s="57" t="s">
        <v>918</v>
      </c>
      <c r="N157" s="110">
        <v>287</v>
      </c>
      <c r="O157" s="57">
        <v>285</v>
      </c>
      <c r="P157" s="58">
        <v>40255.645833333336</v>
      </c>
      <c r="Q157" s="59">
        <v>257920497</v>
      </c>
      <c r="R157" s="4">
        <f t="shared" si="9"/>
        <v>48219219333.323074</v>
      </c>
      <c r="S157" s="4">
        <f t="shared" si="9"/>
        <v>0</v>
      </c>
      <c r="T157" s="4">
        <f t="shared" si="10"/>
        <v>47883196898.94452</v>
      </c>
      <c r="U157" s="4">
        <f t="shared" si="10"/>
        <v>0</v>
      </c>
      <c r="V157" s="4"/>
    </row>
    <row r="158" spans="1:22" ht="15.75">
      <c r="A158" s="52">
        <v>5943</v>
      </c>
      <c r="B158" s="12" t="s">
        <v>125</v>
      </c>
      <c r="C158" s="12" t="s">
        <v>398</v>
      </c>
      <c r="D158" s="12" t="s">
        <v>682</v>
      </c>
      <c r="E158" s="12">
        <v>0</v>
      </c>
      <c r="F158" s="12">
        <v>0</v>
      </c>
      <c r="G158" s="12">
        <v>100</v>
      </c>
      <c r="H158" s="12">
        <v>0</v>
      </c>
      <c r="I158" s="12" t="s">
        <v>401</v>
      </c>
      <c r="J158" s="12">
        <v>49.8209</v>
      </c>
      <c r="K158" s="12">
        <v>1</v>
      </c>
      <c r="L158" s="11">
        <f t="shared" si="11"/>
        <v>5943</v>
      </c>
      <c r="M158" s="57" t="s">
        <v>918</v>
      </c>
      <c r="N158" s="110">
        <v>1342</v>
      </c>
      <c r="O158" s="57">
        <v>1314</v>
      </c>
      <c r="P158" s="58">
        <v>40255.645833333336</v>
      </c>
      <c r="Q158" s="59">
        <v>50797651</v>
      </c>
      <c r="R158" s="4">
        <f t="shared" si="9"/>
        <v>34207317092.726818</v>
      </c>
      <c r="S158" s="4">
        <f t="shared" si="9"/>
        <v>0</v>
      </c>
      <c r="T158" s="4">
        <f t="shared" si="10"/>
        <v>33493602578.124474</v>
      </c>
      <c r="U158" s="4">
        <f t="shared" si="10"/>
        <v>0</v>
      </c>
      <c r="V158" s="4"/>
    </row>
    <row r="159" spans="1:22" ht="15.75">
      <c r="A159" s="52">
        <v>5946</v>
      </c>
      <c r="B159" s="12" t="s">
        <v>1162</v>
      </c>
      <c r="C159" s="12" t="s">
        <v>398</v>
      </c>
      <c r="D159" s="12" t="s">
        <v>682</v>
      </c>
      <c r="E159" s="12">
        <v>0</v>
      </c>
      <c r="F159" s="12">
        <v>0</v>
      </c>
      <c r="G159" s="12">
        <v>100</v>
      </c>
      <c r="H159" s="12">
        <v>0</v>
      </c>
      <c r="I159" s="12" t="s">
        <v>401</v>
      </c>
      <c r="J159" s="12">
        <v>51.7944</v>
      </c>
      <c r="K159" s="12">
        <v>1</v>
      </c>
      <c r="L159" s="11">
        <f t="shared" si="11"/>
        <v>5946</v>
      </c>
      <c r="M159" s="57" t="s">
        <v>918</v>
      </c>
      <c r="N159" s="110">
        <v>2100</v>
      </c>
      <c r="O159" s="57">
        <v>2185</v>
      </c>
      <c r="P159" s="58">
        <v>40255.645833333336</v>
      </c>
      <c r="Q159" s="59">
        <v>35980500</v>
      </c>
      <c r="R159" s="4">
        <f t="shared" si="9"/>
        <v>36423693406.799995</v>
      </c>
      <c r="S159" s="4">
        <f t="shared" si="9"/>
        <v>0</v>
      </c>
      <c r="T159" s="4">
        <f t="shared" si="10"/>
        <v>37897985758.98</v>
      </c>
      <c r="U159" s="4">
        <f t="shared" si="10"/>
        <v>0</v>
      </c>
      <c r="V159" s="4"/>
    </row>
    <row r="160" spans="1:22" ht="15.75">
      <c r="A160" s="52">
        <v>5949</v>
      </c>
      <c r="B160" s="12" t="s">
        <v>126</v>
      </c>
      <c r="C160" s="12" t="s">
        <v>398</v>
      </c>
      <c r="D160" s="12" t="s">
        <v>677</v>
      </c>
      <c r="E160" s="12">
        <v>0</v>
      </c>
      <c r="F160" s="12">
        <v>0</v>
      </c>
      <c r="G160" s="12">
        <v>88.2721</v>
      </c>
      <c r="H160" s="12">
        <v>11.7279</v>
      </c>
      <c r="I160" s="12" t="s">
        <v>401</v>
      </c>
      <c r="J160" s="12">
        <v>44.2022</v>
      </c>
      <c r="K160" s="12">
        <v>1</v>
      </c>
      <c r="L160" s="11">
        <f t="shared" si="11"/>
        <v>5949</v>
      </c>
      <c r="M160" s="57" t="s">
        <v>918</v>
      </c>
      <c r="N160" s="110">
        <v>1267</v>
      </c>
      <c r="O160" s="57">
        <v>1279</v>
      </c>
      <c r="P160" s="58">
        <v>40255.645833333336</v>
      </c>
      <c r="Q160" s="59">
        <v>40801677</v>
      </c>
      <c r="R160" s="4">
        <f t="shared" si="9"/>
        <v>25462155311.243183</v>
      </c>
      <c r="S160" s="4">
        <f t="shared" si="9"/>
        <v>3382921798.334117</v>
      </c>
      <c r="T160" s="4">
        <f t="shared" si="10"/>
        <v>25703312267.624336</v>
      </c>
      <c r="U160" s="4">
        <f t="shared" si="10"/>
        <v>3414962099.502238</v>
      </c>
      <c r="V160" s="4"/>
    </row>
    <row r="161" spans="1:22" ht="15.75">
      <c r="A161" s="52">
        <v>5975</v>
      </c>
      <c r="B161" s="12" t="s">
        <v>127</v>
      </c>
      <c r="C161" s="12" t="s">
        <v>398</v>
      </c>
      <c r="D161" s="12" t="s">
        <v>682</v>
      </c>
      <c r="E161" s="12">
        <v>0</v>
      </c>
      <c r="F161" s="12">
        <v>0</v>
      </c>
      <c r="G161" s="12">
        <v>100</v>
      </c>
      <c r="H161" s="12">
        <v>0</v>
      </c>
      <c r="I161" s="12" t="s">
        <v>401</v>
      </c>
      <c r="J161" s="12">
        <v>41.8454</v>
      </c>
      <c r="K161" s="12">
        <v>1</v>
      </c>
      <c r="L161" s="11">
        <f t="shared" si="11"/>
        <v>5975</v>
      </c>
      <c r="M161" s="57" t="s">
        <v>918</v>
      </c>
      <c r="N161" s="110">
        <v>728</v>
      </c>
      <c r="O161" s="57">
        <v>729</v>
      </c>
      <c r="P161" s="58">
        <v>40255.645833333336</v>
      </c>
      <c r="Q161" s="59">
        <v>54021824</v>
      </c>
      <c r="R161" s="4">
        <f t="shared" si="9"/>
        <v>22870975880.410114</v>
      </c>
      <c r="S161" s="4">
        <f t="shared" si="9"/>
        <v>0</v>
      </c>
      <c r="T161" s="4">
        <f t="shared" si="10"/>
        <v>22902392056.070015</v>
      </c>
      <c r="U161" s="4">
        <f t="shared" si="10"/>
        <v>0</v>
      </c>
      <c r="V161" s="4"/>
    </row>
    <row r="162" spans="1:22" ht="15.75">
      <c r="A162" s="52">
        <v>5981</v>
      </c>
      <c r="B162" s="12" t="s">
        <v>128</v>
      </c>
      <c r="C162" s="12" t="s">
        <v>398</v>
      </c>
      <c r="D162" s="12" t="s">
        <v>682</v>
      </c>
      <c r="E162" s="12">
        <v>0</v>
      </c>
      <c r="F162" s="12">
        <v>0</v>
      </c>
      <c r="G162" s="12">
        <v>50.9971</v>
      </c>
      <c r="H162" s="12">
        <v>49.0029</v>
      </c>
      <c r="I162" s="12" t="s">
        <v>401</v>
      </c>
      <c r="J162" s="12">
        <v>38.368</v>
      </c>
      <c r="K162" s="12">
        <v>1</v>
      </c>
      <c r="L162" s="11">
        <f t="shared" si="11"/>
        <v>5981</v>
      </c>
      <c r="M162" s="57" t="s">
        <v>918</v>
      </c>
      <c r="N162" s="110">
        <v>242</v>
      </c>
      <c r="O162" s="57">
        <v>240</v>
      </c>
      <c r="P162" s="58">
        <v>40255.645833333336</v>
      </c>
      <c r="Q162" s="59">
        <v>162682420</v>
      </c>
      <c r="R162" s="4">
        <f t="shared" si="9"/>
        <v>12373932183.067463</v>
      </c>
      <c r="S162" s="4">
        <f t="shared" si="9"/>
        <v>11890059657.777336</v>
      </c>
      <c r="T162" s="4">
        <f t="shared" si="10"/>
        <v>12271668280.728064</v>
      </c>
      <c r="U162" s="4">
        <f t="shared" si="10"/>
        <v>11791794701.927937</v>
      </c>
      <c r="V162" s="4"/>
    </row>
    <row r="163" spans="1:22" ht="15.75">
      <c r="A163" s="52">
        <v>6005</v>
      </c>
      <c r="B163" s="12" t="s">
        <v>786</v>
      </c>
      <c r="C163" s="12" t="s">
        <v>398</v>
      </c>
      <c r="D163" s="12" t="s">
        <v>367</v>
      </c>
      <c r="E163" s="12">
        <v>0</v>
      </c>
      <c r="F163" s="12">
        <v>0</v>
      </c>
      <c r="G163" s="12">
        <v>7.8651</v>
      </c>
      <c r="H163" s="12">
        <v>92.1349</v>
      </c>
      <c r="I163" s="12" t="s">
        <v>401</v>
      </c>
      <c r="J163" s="12">
        <v>44.9756</v>
      </c>
      <c r="K163" s="12">
        <v>1</v>
      </c>
      <c r="L163" s="11">
        <f t="shared" si="11"/>
        <v>6005</v>
      </c>
      <c r="M163" s="57" t="s">
        <v>918</v>
      </c>
      <c r="N163" s="110">
        <v>2353</v>
      </c>
      <c r="O163" s="57">
        <v>2366</v>
      </c>
      <c r="P163" s="58">
        <v>40255.645833333336</v>
      </c>
      <c r="Q163" s="59">
        <v>41763704</v>
      </c>
      <c r="R163" s="4">
        <f t="shared" si="9"/>
        <v>4252854263.5116224</v>
      </c>
      <c r="S163" s="4">
        <f t="shared" si="9"/>
        <v>49819621146.9933</v>
      </c>
      <c r="T163" s="4">
        <f t="shared" si="10"/>
        <v>4276350695.906715</v>
      </c>
      <c r="U163" s="4">
        <f t="shared" si="10"/>
        <v>50094867672.6673</v>
      </c>
      <c r="V163" s="4"/>
    </row>
    <row r="164" spans="1:22" ht="15.75">
      <c r="A164" s="52">
        <v>6103</v>
      </c>
      <c r="B164" s="12" t="s">
        <v>1163</v>
      </c>
      <c r="C164" s="12" t="s">
        <v>398</v>
      </c>
      <c r="D164" s="12" t="s">
        <v>367</v>
      </c>
      <c r="E164" s="12">
        <v>0</v>
      </c>
      <c r="F164" s="12">
        <v>0</v>
      </c>
      <c r="G164" s="12">
        <v>100</v>
      </c>
      <c r="H164" s="12">
        <v>0</v>
      </c>
      <c r="I164" s="12" t="s">
        <v>401</v>
      </c>
      <c r="J164" s="12">
        <v>31.5291</v>
      </c>
      <c r="K164" s="12">
        <v>1</v>
      </c>
      <c r="L164" s="11">
        <f t="shared" si="11"/>
        <v>6103</v>
      </c>
      <c r="M164" s="57" t="s">
        <v>918</v>
      </c>
      <c r="N164" s="110">
        <v>638</v>
      </c>
      <c r="O164" s="57">
        <v>657</v>
      </c>
      <c r="P164" s="58">
        <v>40255.645833333336</v>
      </c>
      <c r="Q164" s="59">
        <v>168775770</v>
      </c>
      <c r="R164" s="4">
        <f t="shared" si="9"/>
        <v>73728740191.19334</v>
      </c>
      <c r="S164" s="4">
        <f t="shared" si="9"/>
        <v>0</v>
      </c>
      <c r="T164" s="4">
        <f t="shared" si="10"/>
        <v>75924423676.51102</v>
      </c>
      <c r="U164" s="4">
        <f t="shared" si="10"/>
        <v>0</v>
      </c>
      <c r="V164" s="4"/>
    </row>
    <row r="165" spans="1:22" ht="15.75">
      <c r="A165" s="52">
        <v>6104</v>
      </c>
      <c r="B165" s="12" t="s">
        <v>129</v>
      </c>
      <c r="C165" s="12" t="s">
        <v>398</v>
      </c>
      <c r="D165" s="12" t="s">
        <v>367</v>
      </c>
      <c r="E165" s="12">
        <v>0</v>
      </c>
      <c r="F165" s="12">
        <v>0</v>
      </c>
      <c r="G165" s="12">
        <v>100</v>
      </c>
      <c r="H165" s="12">
        <v>0</v>
      </c>
      <c r="I165" s="12" t="s">
        <v>401</v>
      </c>
      <c r="J165" s="12">
        <v>37.031</v>
      </c>
      <c r="K165" s="12">
        <v>1</v>
      </c>
      <c r="L165" s="11">
        <f t="shared" si="11"/>
        <v>6104</v>
      </c>
      <c r="M165" s="57" t="s">
        <v>918</v>
      </c>
      <c r="N165" s="110">
        <v>383</v>
      </c>
      <c r="O165" s="57">
        <v>409</v>
      </c>
      <c r="P165" s="58">
        <v>40255.645833333336</v>
      </c>
      <c r="Q165" s="59">
        <v>166885530</v>
      </c>
      <c r="R165" s="4">
        <f t="shared" si="9"/>
        <v>40247995214.7231</v>
      </c>
      <c r="S165" s="4">
        <f t="shared" si="9"/>
        <v>0</v>
      </c>
      <c r="T165" s="4">
        <f t="shared" si="10"/>
        <v>42980235098.7513</v>
      </c>
      <c r="U165" s="4">
        <f t="shared" si="10"/>
        <v>0</v>
      </c>
      <c r="V165" s="4"/>
    </row>
    <row r="166" spans="1:22" ht="15.75">
      <c r="A166" s="52">
        <v>6134</v>
      </c>
      <c r="B166" s="12" t="s">
        <v>787</v>
      </c>
      <c r="C166" s="12" t="s">
        <v>404</v>
      </c>
      <c r="D166" s="12" t="s">
        <v>367</v>
      </c>
      <c r="E166" s="12">
        <v>0</v>
      </c>
      <c r="F166" s="12">
        <v>0</v>
      </c>
      <c r="G166" s="12">
        <v>100</v>
      </c>
      <c r="H166" s="12">
        <v>0</v>
      </c>
      <c r="I166" s="12" t="s">
        <v>401</v>
      </c>
      <c r="J166" s="12">
        <v>33.7797</v>
      </c>
      <c r="K166" s="12">
        <v>1</v>
      </c>
      <c r="L166" s="11">
        <f t="shared" si="11"/>
        <v>6134</v>
      </c>
      <c r="M166" s="57" t="s">
        <v>922</v>
      </c>
      <c r="N166" s="110">
        <v>1477</v>
      </c>
      <c r="O166" s="57">
        <v>1495</v>
      </c>
      <c r="P166" s="58">
        <v>40255.645833333336</v>
      </c>
      <c r="Q166" s="59">
        <v>48911874</v>
      </c>
      <c r="R166" s="4">
        <f t="shared" si="9"/>
        <v>47839423984.56929</v>
      </c>
      <c r="S166" s="4">
        <f t="shared" si="9"/>
        <v>0</v>
      </c>
      <c r="T166" s="4">
        <f t="shared" si="10"/>
        <v>48422436599.1409</v>
      </c>
      <c r="U166" s="4">
        <f t="shared" si="10"/>
        <v>0</v>
      </c>
      <c r="V166" s="4"/>
    </row>
    <row r="167" spans="1:22" ht="15.75">
      <c r="A167" s="52">
        <v>6135</v>
      </c>
      <c r="B167" s="12" t="s">
        <v>788</v>
      </c>
      <c r="C167" s="12" t="s">
        <v>398</v>
      </c>
      <c r="D167" s="12" t="s">
        <v>367</v>
      </c>
      <c r="E167" s="12">
        <v>0</v>
      </c>
      <c r="F167" s="12">
        <v>0</v>
      </c>
      <c r="G167" s="12">
        <v>100</v>
      </c>
      <c r="H167" s="12">
        <v>0</v>
      </c>
      <c r="I167" s="12" t="s">
        <v>401</v>
      </c>
      <c r="J167" s="12">
        <v>24.2026</v>
      </c>
      <c r="K167" s="12">
        <v>1</v>
      </c>
      <c r="L167" s="11">
        <f t="shared" si="11"/>
        <v>6135</v>
      </c>
      <c r="M167" s="57" t="s">
        <v>918</v>
      </c>
      <c r="N167" s="110">
        <v>570</v>
      </c>
      <c r="O167" s="57">
        <v>574</v>
      </c>
      <c r="P167" s="58">
        <v>40255.645833333336</v>
      </c>
      <c r="Q167" s="59">
        <v>119944543</v>
      </c>
      <c r="R167" s="4">
        <f t="shared" si="9"/>
        <v>51821461670.452736</v>
      </c>
      <c r="S167" s="4">
        <f t="shared" si="9"/>
        <v>0</v>
      </c>
      <c r="T167" s="4">
        <f t="shared" si="10"/>
        <v>52185121050.59626</v>
      </c>
      <c r="U167" s="4">
        <f t="shared" si="10"/>
        <v>0</v>
      </c>
      <c r="V167" s="4"/>
    </row>
    <row r="168" spans="1:22" ht="15.75">
      <c r="A168" s="52">
        <v>6136</v>
      </c>
      <c r="B168" s="12" t="s">
        <v>789</v>
      </c>
      <c r="C168" s="12" t="s">
        <v>398</v>
      </c>
      <c r="D168" s="12" t="s">
        <v>367</v>
      </c>
      <c r="E168" s="12">
        <v>0</v>
      </c>
      <c r="F168" s="12">
        <v>0</v>
      </c>
      <c r="G168" s="12">
        <v>0</v>
      </c>
      <c r="H168" s="12">
        <v>100</v>
      </c>
      <c r="I168" s="12" t="s">
        <v>401</v>
      </c>
      <c r="J168" s="12">
        <v>32.1016</v>
      </c>
      <c r="K168" s="12">
        <v>1</v>
      </c>
      <c r="L168" s="11">
        <f t="shared" si="11"/>
        <v>6136</v>
      </c>
      <c r="M168" s="57" t="s">
        <v>918</v>
      </c>
      <c r="N168" s="110">
        <v>913</v>
      </c>
      <c r="O168" s="57">
        <v>917</v>
      </c>
      <c r="P168" s="58">
        <v>40255.645833333336</v>
      </c>
      <c r="Q168" s="59">
        <v>98955226</v>
      </c>
      <c r="R168" s="4">
        <f t="shared" si="9"/>
        <v>0</v>
      </c>
      <c r="S168" s="4">
        <f t="shared" si="9"/>
        <v>61343570850.5606</v>
      </c>
      <c r="T168" s="4">
        <f t="shared" si="10"/>
        <v>0</v>
      </c>
      <c r="U168" s="4">
        <f t="shared" si="10"/>
        <v>61612326911.242134</v>
      </c>
      <c r="V168" s="4"/>
    </row>
    <row r="169" spans="1:22" ht="15.75">
      <c r="A169" s="52">
        <v>6140</v>
      </c>
      <c r="B169" s="12" t="s">
        <v>130</v>
      </c>
      <c r="C169" s="12" t="s">
        <v>398</v>
      </c>
      <c r="D169" s="12" t="s">
        <v>367</v>
      </c>
      <c r="E169" s="12">
        <v>0</v>
      </c>
      <c r="F169" s="12">
        <v>0</v>
      </c>
      <c r="G169" s="12">
        <v>87.5059</v>
      </c>
      <c r="H169" s="12">
        <v>12.4941</v>
      </c>
      <c r="I169" s="12" t="s">
        <v>401</v>
      </c>
      <c r="J169" s="12">
        <v>25.039</v>
      </c>
      <c r="K169" s="12">
        <v>1</v>
      </c>
      <c r="L169" s="11">
        <f t="shared" si="11"/>
        <v>6140</v>
      </c>
      <c r="M169" s="57" t="s">
        <v>918</v>
      </c>
      <c r="N169" s="110">
        <v>779</v>
      </c>
      <c r="O169" s="57">
        <v>776</v>
      </c>
      <c r="P169" s="58">
        <v>40255.645833333336</v>
      </c>
      <c r="Q169" s="59">
        <v>63143769</v>
      </c>
      <c r="R169" s="4">
        <f t="shared" si="9"/>
        <v>32265668394.8028</v>
      </c>
      <c r="S169" s="4">
        <f t="shared" si="9"/>
        <v>4606894934.987307</v>
      </c>
      <c r="T169" s="4">
        <f t="shared" si="10"/>
        <v>32141410365.041042</v>
      </c>
      <c r="U169" s="4">
        <f t="shared" si="10"/>
        <v>4589153362.708792</v>
      </c>
      <c r="V169" s="4"/>
    </row>
    <row r="170" spans="1:22" ht="15.75">
      <c r="A170" s="52">
        <v>6141</v>
      </c>
      <c r="B170" s="12" t="s">
        <v>1164</v>
      </c>
      <c r="C170" s="12" t="s">
        <v>404</v>
      </c>
      <c r="D170" s="12" t="s">
        <v>367</v>
      </c>
      <c r="E170" s="12">
        <v>0</v>
      </c>
      <c r="F170" s="12">
        <v>0</v>
      </c>
      <c r="G170" s="12">
        <v>100</v>
      </c>
      <c r="H170" s="12">
        <v>0</v>
      </c>
      <c r="I170" s="12" t="s">
        <v>401</v>
      </c>
      <c r="J170" s="12">
        <v>22.0671</v>
      </c>
      <c r="K170" s="12">
        <v>1</v>
      </c>
      <c r="L170" s="11">
        <f t="shared" si="11"/>
        <v>6141</v>
      </c>
      <c r="M170" s="57" t="s">
        <v>919</v>
      </c>
      <c r="N170" s="110">
        <v>1069</v>
      </c>
      <c r="O170" s="57">
        <v>1079</v>
      </c>
      <c r="P170" s="58">
        <v>40255.645833333336</v>
      </c>
      <c r="Q170" s="59">
        <v>118475312</v>
      </c>
      <c r="R170" s="4">
        <f t="shared" si="9"/>
        <v>98702102429.01772</v>
      </c>
      <c r="S170" s="4">
        <f t="shared" si="9"/>
        <v>0</v>
      </c>
      <c r="T170" s="4">
        <f t="shared" si="10"/>
        <v>99625414893.2742</v>
      </c>
      <c r="U170" s="4">
        <f t="shared" si="10"/>
        <v>0</v>
      </c>
      <c r="V170" s="4"/>
    </row>
    <row r="171" spans="1:22" ht="15.75">
      <c r="A171" s="52">
        <v>6222</v>
      </c>
      <c r="B171" s="12" t="s">
        <v>790</v>
      </c>
      <c r="C171" s="12" t="s">
        <v>404</v>
      </c>
      <c r="D171" s="12" t="s">
        <v>367</v>
      </c>
      <c r="E171" s="12">
        <v>0</v>
      </c>
      <c r="F171" s="12">
        <v>0</v>
      </c>
      <c r="G171" s="12">
        <v>100</v>
      </c>
      <c r="H171" s="12">
        <v>0</v>
      </c>
      <c r="I171" s="12" t="s">
        <v>401</v>
      </c>
      <c r="J171" s="12">
        <v>30.7799</v>
      </c>
      <c r="K171" s="12">
        <v>1</v>
      </c>
      <c r="L171" s="11">
        <f t="shared" si="11"/>
        <v>6222</v>
      </c>
      <c r="M171" s="57" t="s">
        <v>919</v>
      </c>
      <c r="N171" s="110">
        <v>2043</v>
      </c>
      <c r="O171" s="57">
        <v>2065</v>
      </c>
      <c r="P171" s="58">
        <v>40255.645833333336</v>
      </c>
      <c r="Q171" s="59">
        <v>36600000</v>
      </c>
      <c r="R171" s="4">
        <f t="shared" si="9"/>
        <v>51758499133.8</v>
      </c>
      <c r="S171" s="4">
        <f t="shared" si="9"/>
        <v>0</v>
      </c>
      <c r="T171" s="4">
        <f t="shared" si="10"/>
        <v>52315859379</v>
      </c>
      <c r="U171" s="4">
        <f t="shared" si="10"/>
        <v>0</v>
      </c>
      <c r="V171" s="4"/>
    </row>
    <row r="172" spans="1:22" ht="15.75">
      <c r="A172" s="52">
        <v>6269</v>
      </c>
      <c r="B172" s="12" t="s">
        <v>140</v>
      </c>
      <c r="C172" s="12" t="s">
        <v>398</v>
      </c>
      <c r="D172" s="12" t="s">
        <v>367</v>
      </c>
      <c r="E172" s="12">
        <v>0</v>
      </c>
      <c r="F172" s="12">
        <v>0</v>
      </c>
      <c r="G172" s="12">
        <v>0</v>
      </c>
      <c r="H172" s="12">
        <v>100</v>
      </c>
      <c r="I172" s="12" t="s">
        <v>401</v>
      </c>
      <c r="J172" s="12">
        <v>57.2725</v>
      </c>
      <c r="K172" s="12">
        <v>1</v>
      </c>
      <c r="L172" s="11">
        <f t="shared" si="11"/>
        <v>6269</v>
      </c>
      <c r="M172" s="57" t="s">
        <v>918</v>
      </c>
      <c r="N172" s="110">
        <v>1620</v>
      </c>
      <c r="O172" s="57">
        <v>1640</v>
      </c>
      <c r="P172" s="58">
        <v>40255.645833333336</v>
      </c>
      <c r="Q172" s="59">
        <v>37408000</v>
      </c>
      <c r="R172" s="4">
        <f t="shared" si="9"/>
        <v>0</v>
      </c>
      <c r="S172" s="4">
        <f t="shared" si="9"/>
        <v>25893275184</v>
      </c>
      <c r="T172" s="4">
        <f t="shared" si="10"/>
        <v>0</v>
      </c>
      <c r="U172" s="4">
        <f t="shared" si="10"/>
        <v>26212945248</v>
      </c>
      <c r="V172" s="4"/>
    </row>
    <row r="173" spans="1:22" ht="15.75">
      <c r="A173" s="52">
        <v>6278</v>
      </c>
      <c r="B173" s="12" t="s">
        <v>141</v>
      </c>
      <c r="C173" s="12" t="s">
        <v>398</v>
      </c>
      <c r="D173" s="12" t="s">
        <v>367</v>
      </c>
      <c r="E173" s="12">
        <v>0</v>
      </c>
      <c r="F173" s="12">
        <v>0</v>
      </c>
      <c r="G173" s="12">
        <v>24.2497</v>
      </c>
      <c r="H173" s="12">
        <v>75.7503</v>
      </c>
      <c r="I173" s="12" t="s">
        <v>401</v>
      </c>
      <c r="J173" s="12">
        <v>59.9575</v>
      </c>
      <c r="K173" s="12">
        <v>1</v>
      </c>
      <c r="L173" s="11">
        <f t="shared" si="11"/>
        <v>6278</v>
      </c>
      <c r="M173" s="57" t="s">
        <v>918</v>
      </c>
      <c r="N173" s="110">
        <v>2556</v>
      </c>
      <c r="O173" s="57">
        <v>2577</v>
      </c>
      <c r="P173" s="58">
        <v>40255.645833333336</v>
      </c>
      <c r="Q173" s="59">
        <v>23098490</v>
      </c>
      <c r="R173" s="4">
        <f t="shared" si="9"/>
        <v>5732868682.9649</v>
      </c>
      <c r="S173" s="4">
        <f t="shared" si="9"/>
        <v>17908119382.722095</v>
      </c>
      <c r="T173" s="4">
        <f t="shared" si="10"/>
        <v>5779969716.745128</v>
      </c>
      <c r="U173" s="4">
        <f t="shared" si="10"/>
        <v>18055251818.96512</v>
      </c>
      <c r="V173" s="4"/>
    </row>
    <row r="174" spans="1:22" ht="15.75">
      <c r="A174" s="52">
        <v>6310</v>
      </c>
      <c r="B174" s="12" t="s">
        <v>142</v>
      </c>
      <c r="C174" s="12" t="s">
        <v>398</v>
      </c>
      <c r="D174" s="12" t="s">
        <v>367</v>
      </c>
      <c r="E174" s="12">
        <v>0</v>
      </c>
      <c r="F174" s="12">
        <v>0</v>
      </c>
      <c r="G174" s="12">
        <v>0</v>
      </c>
      <c r="H174" s="12">
        <v>100</v>
      </c>
      <c r="I174" s="12" t="s">
        <v>401</v>
      </c>
      <c r="J174" s="12">
        <v>41.9008</v>
      </c>
      <c r="K174" s="12">
        <v>1</v>
      </c>
      <c r="L174" s="11">
        <f t="shared" si="11"/>
        <v>6310</v>
      </c>
      <c r="M174" s="57" t="s">
        <v>918</v>
      </c>
      <c r="N174" s="110">
        <v>277</v>
      </c>
      <c r="O174" s="57">
        <v>278</v>
      </c>
      <c r="P174" s="58">
        <v>40255.645833333336</v>
      </c>
      <c r="Q174" s="59">
        <v>229849936</v>
      </c>
      <c r="R174" s="4">
        <f t="shared" si="9"/>
        <v>0</v>
      </c>
      <c r="S174" s="4">
        <f t="shared" si="9"/>
        <v>36990849802.57382</v>
      </c>
      <c r="T174" s="4">
        <f t="shared" si="10"/>
        <v>0</v>
      </c>
      <c r="U174" s="4">
        <f t="shared" si="10"/>
        <v>37124390776.59034</v>
      </c>
      <c r="V174" s="4"/>
    </row>
    <row r="175" spans="1:22" ht="15.75">
      <c r="A175" s="52">
        <v>6330</v>
      </c>
      <c r="B175" s="12" t="s">
        <v>791</v>
      </c>
      <c r="C175" s="12" t="s">
        <v>398</v>
      </c>
      <c r="D175" s="12" t="s">
        <v>403</v>
      </c>
      <c r="E175" s="12">
        <v>0</v>
      </c>
      <c r="F175" s="12">
        <v>0</v>
      </c>
      <c r="G175" s="12">
        <v>88.6594</v>
      </c>
      <c r="H175" s="12">
        <v>11.3406</v>
      </c>
      <c r="I175" s="12" t="s">
        <v>401</v>
      </c>
      <c r="J175" s="12">
        <v>43.9335</v>
      </c>
      <c r="K175" s="12">
        <v>1</v>
      </c>
      <c r="L175" s="11">
        <f t="shared" si="11"/>
        <v>6330</v>
      </c>
      <c r="M175" s="57" t="s">
        <v>918</v>
      </c>
      <c r="N175" s="110">
        <v>319</v>
      </c>
      <c r="O175" s="57">
        <v>326</v>
      </c>
      <c r="P175" s="58">
        <v>40255.645833333336</v>
      </c>
      <c r="Q175" s="59">
        <v>192792539</v>
      </c>
      <c r="R175" s="4">
        <f t="shared" si="9"/>
        <v>30570964416.211655</v>
      </c>
      <c r="S175" s="4">
        <f t="shared" si="9"/>
        <v>3910392796.0091076</v>
      </c>
      <c r="T175" s="4">
        <f t="shared" si="10"/>
        <v>31241800625.971786</v>
      </c>
      <c r="U175" s="4">
        <f t="shared" si="10"/>
        <v>3996200788.3980227</v>
      </c>
      <c r="V175" s="4"/>
    </row>
    <row r="176" spans="1:22" ht="15.75">
      <c r="A176" s="52">
        <v>6339</v>
      </c>
      <c r="B176" s="12" t="s">
        <v>143</v>
      </c>
      <c r="C176" s="12" t="s">
        <v>398</v>
      </c>
      <c r="D176" s="12" t="s">
        <v>367</v>
      </c>
      <c r="E176" s="12">
        <v>0</v>
      </c>
      <c r="F176" s="12">
        <v>0</v>
      </c>
      <c r="G176" s="12">
        <v>100</v>
      </c>
      <c r="H176" s="12">
        <v>0</v>
      </c>
      <c r="I176" s="12" t="s">
        <v>401</v>
      </c>
      <c r="J176" s="12">
        <v>28.1403</v>
      </c>
      <c r="K176" s="12">
        <v>1</v>
      </c>
      <c r="L176" s="11">
        <f t="shared" si="11"/>
        <v>6339</v>
      </c>
      <c r="M176" s="57" t="s">
        <v>918</v>
      </c>
      <c r="N176" s="110">
        <v>697</v>
      </c>
      <c r="O176" s="57">
        <v>698</v>
      </c>
      <c r="P176" s="58">
        <v>40255.645833333336</v>
      </c>
      <c r="Q176" s="59">
        <v>56554009</v>
      </c>
      <c r="R176" s="4">
        <f t="shared" si="9"/>
        <v>28325760220.14498</v>
      </c>
      <c r="S176" s="4">
        <f t="shared" si="9"/>
        <v>0</v>
      </c>
      <c r="T176" s="4">
        <f t="shared" si="10"/>
        <v>28366399761.350357</v>
      </c>
      <c r="U176" s="4">
        <f t="shared" si="10"/>
        <v>0</v>
      </c>
      <c r="V176" s="4"/>
    </row>
    <row r="177" spans="1:22" ht="15.75">
      <c r="A177" s="52">
        <v>6349</v>
      </c>
      <c r="B177" s="12" t="s">
        <v>792</v>
      </c>
      <c r="C177" s="12" t="s">
        <v>398</v>
      </c>
      <c r="D177" s="12" t="s">
        <v>367</v>
      </c>
      <c r="E177" s="12">
        <v>0</v>
      </c>
      <c r="F177" s="12">
        <v>0</v>
      </c>
      <c r="G177" s="12">
        <v>100</v>
      </c>
      <c r="H177" s="12">
        <v>0</v>
      </c>
      <c r="I177" s="12" t="s">
        <v>401</v>
      </c>
      <c r="J177" s="12">
        <v>16.2555</v>
      </c>
      <c r="K177" s="12">
        <v>1</v>
      </c>
      <c r="L177" s="11">
        <f t="shared" si="11"/>
        <v>6349</v>
      </c>
      <c r="M177" s="57" t="s">
        <v>918</v>
      </c>
      <c r="N177" s="110">
        <v>1118</v>
      </c>
      <c r="O177" s="57">
        <v>1107</v>
      </c>
      <c r="P177" s="58">
        <v>40255.645833333336</v>
      </c>
      <c r="Q177" s="59">
        <v>68292340</v>
      </c>
      <c r="R177" s="4">
        <f t="shared" si="9"/>
        <v>63939625954.51341</v>
      </c>
      <c r="S177" s="4">
        <f t="shared" si="9"/>
        <v>0</v>
      </c>
      <c r="T177" s="4">
        <f t="shared" si="10"/>
        <v>63310524089.1291</v>
      </c>
      <c r="U177" s="4">
        <f t="shared" si="10"/>
        <v>0</v>
      </c>
      <c r="V177" s="4"/>
    </row>
    <row r="178" spans="1:22" ht="15.75">
      <c r="A178" s="52">
        <v>6371</v>
      </c>
      <c r="B178" s="12" t="s">
        <v>793</v>
      </c>
      <c r="C178" s="12" t="s">
        <v>398</v>
      </c>
      <c r="D178" s="12" t="s">
        <v>367</v>
      </c>
      <c r="E178" s="12">
        <v>0</v>
      </c>
      <c r="F178" s="12">
        <v>0</v>
      </c>
      <c r="G178" s="12">
        <v>100</v>
      </c>
      <c r="H178" s="12">
        <v>0</v>
      </c>
      <c r="I178" s="12" t="s">
        <v>401</v>
      </c>
      <c r="J178" s="12">
        <v>43.9047</v>
      </c>
      <c r="K178" s="12">
        <v>1</v>
      </c>
      <c r="L178" s="11">
        <f t="shared" si="11"/>
        <v>6371</v>
      </c>
      <c r="M178" s="57" t="s">
        <v>918</v>
      </c>
      <c r="N178" s="110">
        <v>411</v>
      </c>
      <c r="O178" s="57">
        <v>418</v>
      </c>
      <c r="P178" s="58">
        <v>40255.645833333336</v>
      </c>
      <c r="Q178" s="59">
        <v>191406969</v>
      </c>
      <c r="R178" s="4">
        <f t="shared" si="9"/>
        <v>44129198840.87883</v>
      </c>
      <c r="S178" s="4">
        <f t="shared" si="9"/>
        <v>0</v>
      </c>
      <c r="T178" s="4">
        <f t="shared" si="10"/>
        <v>44880791035.24902</v>
      </c>
      <c r="U178" s="4">
        <f t="shared" si="10"/>
        <v>0</v>
      </c>
      <c r="V178" s="4"/>
    </row>
    <row r="179" spans="1:22" ht="15.75">
      <c r="A179" s="52">
        <v>6376</v>
      </c>
      <c r="B179" s="12" t="s">
        <v>144</v>
      </c>
      <c r="C179" s="12" t="s">
        <v>398</v>
      </c>
      <c r="D179" s="12" t="s">
        <v>369</v>
      </c>
      <c r="E179" s="12">
        <v>0</v>
      </c>
      <c r="F179" s="12">
        <v>0</v>
      </c>
      <c r="G179" s="12">
        <v>8.7242</v>
      </c>
      <c r="H179" s="12">
        <v>91.2758</v>
      </c>
      <c r="I179" s="12" t="s">
        <v>401</v>
      </c>
      <c r="J179" s="12">
        <v>50.6597</v>
      </c>
      <c r="K179" s="12">
        <v>1</v>
      </c>
      <c r="L179" s="11">
        <f t="shared" si="11"/>
        <v>6376</v>
      </c>
      <c r="M179" s="57" t="s">
        <v>918</v>
      </c>
      <c r="N179" s="110">
        <v>664</v>
      </c>
      <c r="O179" s="57">
        <v>646</v>
      </c>
      <c r="P179" s="58">
        <v>40255.645833333336</v>
      </c>
      <c r="Q179" s="59">
        <v>80286464</v>
      </c>
      <c r="R179" s="4">
        <f t="shared" si="9"/>
        <v>2294762843.651904</v>
      </c>
      <c r="S179" s="4">
        <f t="shared" si="9"/>
        <v>24008655735.15078</v>
      </c>
      <c r="T179" s="4">
        <f t="shared" si="10"/>
        <v>2232555417.1673646</v>
      </c>
      <c r="U179" s="4">
        <f t="shared" si="10"/>
        <v>23357818682.089466</v>
      </c>
      <c r="V179" s="4"/>
    </row>
    <row r="180" spans="1:22" ht="15.75">
      <c r="A180" s="52">
        <v>6379</v>
      </c>
      <c r="B180" s="12" t="s">
        <v>145</v>
      </c>
      <c r="C180" s="12" t="s">
        <v>398</v>
      </c>
      <c r="D180" s="12" t="s">
        <v>403</v>
      </c>
      <c r="E180" s="12">
        <v>0</v>
      </c>
      <c r="F180" s="12">
        <v>0</v>
      </c>
      <c r="G180" s="12">
        <v>0</v>
      </c>
      <c r="H180" s="12">
        <v>100</v>
      </c>
      <c r="I180" s="12" t="s">
        <v>401</v>
      </c>
      <c r="J180" s="12">
        <v>22.2007</v>
      </c>
      <c r="K180" s="12">
        <v>1</v>
      </c>
      <c r="L180" s="11">
        <f t="shared" si="11"/>
        <v>6379</v>
      </c>
      <c r="M180" s="57" t="s">
        <v>918</v>
      </c>
      <c r="N180" s="110">
        <v>834</v>
      </c>
      <c r="O180" s="57">
        <v>833</v>
      </c>
      <c r="P180" s="58">
        <v>40255.645833333336</v>
      </c>
      <c r="Q180" s="59">
        <v>46310892</v>
      </c>
      <c r="R180" s="4">
        <f t="shared" si="9"/>
        <v>0</v>
      </c>
      <c r="S180" s="4">
        <f t="shared" si="9"/>
        <v>30048644532.996506</v>
      </c>
      <c r="T180" s="4">
        <f t="shared" si="10"/>
        <v>0</v>
      </c>
      <c r="U180" s="4">
        <f t="shared" si="10"/>
        <v>30012614983.19675</v>
      </c>
      <c r="V180" s="4"/>
    </row>
    <row r="181" spans="1:22" ht="15.75">
      <c r="A181" s="52">
        <v>6383</v>
      </c>
      <c r="B181" s="12" t="s">
        <v>794</v>
      </c>
      <c r="C181" s="12" t="s">
        <v>398</v>
      </c>
      <c r="D181" s="12" t="s">
        <v>367</v>
      </c>
      <c r="E181" s="12">
        <v>0</v>
      </c>
      <c r="F181" s="12">
        <v>0</v>
      </c>
      <c r="G181" s="12">
        <v>100</v>
      </c>
      <c r="H181" s="12">
        <v>0</v>
      </c>
      <c r="I181" s="12" t="s">
        <v>401</v>
      </c>
      <c r="J181" s="12">
        <v>32.6313</v>
      </c>
      <c r="K181" s="12">
        <v>1</v>
      </c>
      <c r="L181" s="11">
        <f t="shared" si="11"/>
        <v>6383</v>
      </c>
      <c r="M181" s="57" t="s">
        <v>918</v>
      </c>
      <c r="N181" s="110">
        <v>688</v>
      </c>
      <c r="O181" s="57">
        <v>698</v>
      </c>
      <c r="P181" s="58">
        <v>40255.645833333336</v>
      </c>
      <c r="Q181" s="59">
        <v>113671494</v>
      </c>
      <c r="R181" s="4">
        <f t="shared" si="9"/>
        <v>52686357351.524055</v>
      </c>
      <c r="S181" s="4">
        <f t="shared" si="9"/>
        <v>0</v>
      </c>
      <c r="T181" s="4">
        <f t="shared" si="10"/>
        <v>53452147429.30783</v>
      </c>
      <c r="U181" s="4">
        <f t="shared" si="10"/>
        <v>0</v>
      </c>
      <c r="V181" s="4"/>
    </row>
    <row r="182" spans="1:22" ht="15.75">
      <c r="A182" s="52">
        <v>6395</v>
      </c>
      <c r="B182" s="12" t="s">
        <v>795</v>
      </c>
      <c r="C182" s="12" t="s">
        <v>398</v>
      </c>
      <c r="D182" s="12" t="s">
        <v>367</v>
      </c>
      <c r="E182" s="12">
        <v>0</v>
      </c>
      <c r="F182" s="12">
        <v>0</v>
      </c>
      <c r="G182" s="12">
        <v>100</v>
      </c>
      <c r="H182" s="12">
        <v>0</v>
      </c>
      <c r="I182" s="12" t="s">
        <v>401</v>
      </c>
      <c r="J182" s="62">
        <v>42.0265</v>
      </c>
      <c r="K182" s="12">
        <v>1</v>
      </c>
      <c r="L182" s="11">
        <f t="shared" si="11"/>
        <v>6395</v>
      </c>
      <c r="M182" s="57" t="s">
        <v>918</v>
      </c>
      <c r="N182" s="110">
        <v>470</v>
      </c>
      <c r="O182" s="57">
        <v>477</v>
      </c>
      <c r="P182" s="58">
        <v>40255.645833333336</v>
      </c>
      <c r="Q182" s="59">
        <v>129500355</v>
      </c>
      <c r="R182" s="4">
        <f t="shared" si="9"/>
        <v>35285667503.78475</v>
      </c>
      <c r="S182" s="4">
        <f t="shared" si="9"/>
        <v>0</v>
      </c>
      <c r="T182" s="4">
        <f t="shared" si="10"/>
        <v>35811198721.92622</v>
      </c>
      <c r="U182" s="4">
        <f t="shared" si="10"/>
        <v>0</v>
      </c>
      <c r="V182" s="4"/>
    </row>
    <row r="183" spans="1:22" ht="15.75">
      <c r="A183" s="52">
        <v>6406</v>
      </c>
      <c r="B183" s="12" t="s">
        <v>146</v>
      </c>
      <c r="C183" s="12" t="s">
        <v>398</v>
      </c>
      <c r="D183" s="12" t="s">
        <v>367</v>
      </c>
      <c r="E183" s="12">
        <v>0</v>
      </c>
      <c r="F183" s="12">
        <v>0</v>
      </c>
      <c r="G183" s="12">
        <v>100</v>
      </c>
      <c r="H183" s="12">
        <v>0</v>
      </c>
      <c r="I183" s="12" t="s">
        <v>401</v>
      </c>
      <c r="J183" s="12">
        <v>36.0552</v>
      </c>
      <c r="K183" s="12">
        <v>1</v>
      </c>
      <c r="L183" s="11">
        <f t="shared" si="11"/>
        <v>6406</v>
      </c>
      <c r="M183" s="57" t="s">
        <v>918</v>
      </c>
      <c r="N183" s="110">
        <v>516</v>
      </c>
      <c r="O183" s="57">
        <v>514</v>
      </c>
      <c r="P183" s="58">
        <v>40255.645833333336</v>
      </c>
      <c r="Q183" s="59">
        <v>93767317</v>
      </c>
      <c r="R183" s="4">
        <f t="shared" si="9"/>
        <v>30939010833.644257</v>
      </c>
      <c r="S183" s="4">
        <f t="shared" si="9"/>
        <v>0</v>
      </c>
      <c r="T183" s="4">
        <f t="shared" si="10"/>
        <v>30819092187.002224</v>
      </c>
      <c r="U183" s="4">
        <f t="shared" si="10"/>
        <v>0</v>
      </c>
      <c r="V183" s="4"/>
    </row>
    <row r="184" spans="1:22" ht="15.75">
      <c r="A184" s="52">
        <v>6407</v>
      </c>
      <c r="B184" s="12" t="s">
        <v>147</v>
      </c>
      <c r="C184" s="12" t="s">
        <v>398</v>
      </c>
      <c r="D184" s="12" t="s">
        <v>367</v>
      </c>
      <c r="E184" s="12">
        <v>0</v>
      </c>
      <c r="F184" s="12">
        <v>0</v>
      </c>
      <c r="G184" s="12">
        <v>0</v>
      </c>
      <c r="H184" s="12">
        <v>100</v>
      </c>
      <c r="I184" s="12" t="s">
        <v>401</v>
      </c>
      <c r="J184" s="12">
        <v>35.8877</v>
      </c>
      <c r="K184" s="12">
        <v>1</v>
      </c>
      <c r="L184" s="11">
        <f t="shared" si="11"/>
        <v>6407</v>
      </c>
      <c r="M184" s="57" t="s">
        <v>918</v>
      </c>
      <c r="N184" s="110">
        <v>731</v>
      </c>
      <c r="O184" s="57">
        <v>747</v>
      </c>
      <c r="P184" s="58">
        <v>40255.645833333336</v>
      </c>
      <c r="Q184" s="59">
        <v>69429349</v>
      </c>
      <c r="R184" s="4">
        <f t="shared" si="9"/>
        <v>0</v>
      </c>
      <c r="S184" s="4">
        <f t="shared" si="9"/>
        <v>32538822091.335636</v>
      </c>
      <c r="T184" s="4">
        <f t="shared" si="10"/>
        <v>0</v>
      </c>
      <c r="U184" s="4">
        <f t="shared" si="10"/>
        <v>33251026131.638474</v>
      </c>
      <c r="V184" s="4"/>
    </row>
    <row r="185" spans="1:22" ht="15.75">
      <c r="A185" s="52">
        <v>6412</v>
      </c>
      <c r="B185" s="12" t="s">
        <v>796</v>
      </c>
      <c r="C185" s="12" t="s">
        <v>398</v>
      </c>
      <c r="D185" s="12" t="s">
        <v>367</v>
      </c>
      <c r="E185" s="12">
        <v>0</v>
      </c>
      <c r="F185" s="12">
        <v>0</v>
      </c>
      <c r="G185" s="12">
        <v>100</v>
      </c>
      <c r="H185" s="12">
        <v>0</v>
      </c>
      <c r="I185" s="12" t="s">
        <v>401</v>
      </c>
      <c r="J185" s="12">
        <v>64.9015</v>
      </c>
      <c r="K185" s="12">
        <v>1</v>
      </c>
      <c r="L185" s="11">
        <f t="shared" si="11"/>
        <v>6412</v>
      </c>
      <c r="M185" s="57" t="s">
        <v>918</v>
      </c>
      <c r="N185" s="110">
        <v>981</v>
      </c>
      <c r="O185" s="57">
        <v>984</v>
      </c>
      <c r="P185" s="58">
        <v>40255.645833333336</v>
      </c>
      <c r="Q185" s="59">
        <v>99809060</v>
      </c>
      <c r="R185" s="4">
        <f t="shared" si="9"/>
        <v>34365884748.54211</v>
      </c>
      <c r="S185" s="4">
        <f t="shared" si="9"/>
        <v>0</v>
      </c>
      <c r="T185" s="4">
        <f t="shared" si="10"/>
        <v>34470979197.31441</v>
      </c>
      <c r="U185" s="4">
        <f t="shared" si="10"/>
        <v>0</v>
      </c>
      <c r="V185" s="4"/>
    </row>
    <row r="186" spans="1:22" ht="15.75">
      <c r="A186" s="52">
        <v>6425</v>
      </c>
      <c r="B186" s="12" t="s">
        <v>148</v>
      </c>
      <c r="C186" s="12" t="s">
        <v>418</v>
      </c>
      <c r="D186" s="12" t="s">
        <v>367</v>
      </c>
      <c r="E186" s="12">
        <v>0</v>
      </c>
      <c r="F186" s="12">
        <v>0</v>
      </c>
      <c r="G186" s="12">
        <v>100</v>
      </c>
      <c r="H186" s="12">
        <v>0</v>
      </c>
      <c r="I186" s="12" t="s">
        <v>401</v>
      </c>
      <c r="J186" s="12">
        <v>72.9562</v>
      </c>
      <c r="K186" s="12">
        <v>1</v>
      </c>
      <c r="L186" s="11">
        <f t="shared" si="11"/>
        <v>6425</v>
      </c>
      <c r="M186" s="57" t="s">
        <v>923</v>
      </c>
      <c r="N186" s="110">
        <v>1230</v>
      </c>
      <c r="O186" s="57">
        <v>1225</v>
      </c>
      <c r="P186" s="58">
        <v>40255.645833333336</v>
      </c>
      <c r="Q186" s="59">
        <v>80195000</v>
      </c>
      <c r="R186" s="4">
        <f t="shared" si="9"/>
        <v>26675963754.300007</v>
      </c>
      <c r="S186" s="4">
        <f t="shared" si="9"/>
        <v>0</v>
      </c>
      <c r="T186" s="4">
        <f t="shared" si="10"/>
        <v>26567524877.250004</v>
      </c>
      <c r="U186" s="4">
        <f t="shared" si="10"/>
        <v>0</v>
      </c>
      <c r="V186" s="4"/>
    </row>
    <row r="187" spans="1:22" ht="15.75">
      <c r="A187" s="52">
        <v>6436</v>
      </c>
      <c r="B187" s="12" t="s">
        <v>797</v>
      </c>
      <c r="C187" s="12" t="s">
        <v>398</v>
      </c>
      <c r="D187" s="12" t="s">
        <v>367</v>
      </c>
      <c r="E187" s="12">
        <v>0</v>
      </c>
      <c r="F187" s="12">
        <v>0</v>
      </c>
      <c r="G187" s="12">
        <v>100</v>
      </c>
      <c r="H187" s="12">
        <v>0</v>
      </c>
      <c r="I187" s="12" t="s">
        <v>401</v>
      </c>
      <c r="J187" s="12">
        <v>40.156</v>
      </c>
      <c r="K187" s="12">
        <v>1</v>
      </c>
      <c r="L187" s="11">
        <f t="shared" si="11"/>
        <v>6436</v>
      </c>
      <c r="M187" s="57" t="s">
        <v>918</v>
      </c>
      <c r="N187" s="110">
        <v>848</v>
      </c>
      <c r="O187" s="57">
        <v>845</v>
      </c>
      <c r="P187" s="58">
        <v>40255.645833333336</v>
      </c>
      <c r="Q187" s="59">
        <v>81257829</v>
      </c>
      <c r="R187" s="4">
        <f t="shared" si="9"/>
        <v>41236489038.37248</v>
      </c>
      <c r="S187" s="4">
        <f t="shared" si="9"/>
        <v>0</v>
      </c>
      <c r="T187" s="4">
        <f t="shared" si="10"/>
        <v>41090605232.8122</v>
      </c>
      <c r="U187" s="4">
        <f t="shared" si="10"/>
        <v>0</v>
      </c>
      <c r="V187" s="4"/>
    </row>
    <row r="188" spans="1:22" ht="15.75">
      <c r="A188" s="52">
        <v>6454</v>
      </c>
      <c r="B188" s="67" t="s">
        <v>1165</v>
      </c>
      <c r="C188" s="12" t="s">
        <v>398</v>
      </c>
      <c r="D188" s="12" t="s">
        <v>367</v>
      </c>
      <c r="E188" s="12">
        <v>0</v>
      </c>
      <c r="F188" s="12">
        <v>0</v>
      </c>
      <c r="G188" s="12">
        <v>100</v>
      </c>
      <c r="H188" s="12">
        <v>0</v>
      </c>
      <c r="I188" s="12" t="s">
        <v>401</v>
      </c>
      <c r="J188" s="67">
        <v>44.2405</v>
      </c>
      <c r="K188" s="12">
        <v>1</v>
      </c>
      <c r="L188" s="11">
        <f t="shared" si="11"/>
        <v>6454</v>
      </c>
      <c r="M188" s="57" t="s">
        <v>918</v>
      </c>
      <c r="N188" s="110">
        <v>959</v>
      </c>
      <c r="O188" s="57">
        <v>962</v>
      </c>
      <c r="P188" s="58">
        <v>40255.645833333336</v>
      </c>
      <c r="Q188" s="59">
        <v>50500626</v>
      </c>
      <c r="R188" s="4"/>
      <c r="S188" s="4"/>
      <c r="T188" s="4"/>
      <c r="U188" s="4"/>
      <c r="V188" s="4"/>
    </row>
    <row r="189" spans="1:22" ht="15.75">
      <c r="A189" s="52">
        <v>6465</v>
      </c>
      <c r="B189" s="12" t="s">
        <v>149</v>
      </c>
      <c r="C189" s="12" t="s">
        <v>398</v>
      </c>
      <c r="D189" s="12" t="s">
        <v>367</v>
      </c>
      <c r="E189" s="12">
        <v>0</v>
      </c>
      <c r="F189" s="12">
        <v>0</v>
      </c>
      <c r="G189" s="12">
        <v>100</v>
      </c>
      <c r="H189" s="12">
        <v>0</v>
      </c>
      <c r="I189" s="12" t="s">
        <v>401</v>
      </c>
      <c r="J189" s="12">
        <v>60.816</v>
      </c>
      <c r="K189" s="12">
        <v>1</v>
      </c>
      <c r="L189" s="11">
        <f t="shared" si="11"/>
        <v>6465</v>
      </c>
      <c r="M189" s="57" t="s">
        <v>918</v>
      </c>
      <c r="N189" s="110">
        <v>1332</v>
      </c>
      <c r="O189" s="57">
        <v>1297</v>
      </c>
      <c r="P189" s="58">
        <v>40255.645833333336</v>
      </c>
      <c r="Q189" s="59">
        <v>72052250</v>
      </c>
      <c r="R189" s="4">
        <f t="shared" si="9"/>
        <v>37606294248.48</v>
      </c>
      <c r="S189" s="4">
        <f t="shared" si="9"/>
        <v>0</v>
      </c>
      <c r="T189" s="4">
        <f t="shared" si="10"/>
        <v>36618140871.08</v>
      </c>
      <c r="U189" s="4">
        <f t="shared" si="10"/>
        <v>0</v>
      </c>
      <c r="V189" s="4"/>
    </row>
    <row r="190" spans="1:22" ht="15.75">
      <c r="A190" s="52">
        <v>6474</v>
      </c>
      <c r="B190" s="12" t="s">
        <v>798</v>
      </c>
      <c r="C190" s="12" t="s">
        <v>398</v>
      </c>
      <c r="D190" s="12" t="s">
        <v>367</v>
      </c>
      <c r="E190" s="12">
        <v>0</v>
      </c>
      <c r="F190" s="12">
        <v>0</v>
      </c>
      <c r="G190" s="12">
        <v>94.431</v>
      </c>
      <c r="H190" s="12">
        <v>5.569</v>
      </c>
      <c r="I190" s="12" t="s">
        <v>401</v>
      </c>
      <c r="J190" s="12">
        <v>43.82</v>
      </c>
      <c r="K190" s="12">
        <v>1</v>
      </c>
      <c r="L190" s="11">
        <f t="shared" si="11"/>
        <v>6474</v>
      </c>
      <c r="M190" s="57" t="s">
        <v>918</v>
      </c>
      <c r="N190" s="110">
        <v>283</v>
      </c>
      <c r="O190" s="57">
        <v>290</v>
      </c>
      <c r="P190" s="58">
        <v>40255.645833333336</v>
      </c>
      <c r="Q190" s="59">
        <v>249193436</v>
      </c>
      <c r="R190" s="4">
        <f t="shared" si="9"/>
        <v>37412726366.26882</v>
      </c>
      <c r="S190" s="4">
        <f t="shared" si="9"/>
        <v>2206388507.309581</v>
      </c>
      <c r="T190" s="4">
        <f t="shared" si="10"/>
        <v>38338129491.93624</v>
      </c>
      <c r="U190" s="4">
        <f t="shared" si="10"/>
        <v>2260963488.0557547</v>
      </c>
      <c r="V190" s="4"/>
    </row>
    <row r="191" spans="1:22" ht="15.75">
      <c r="A191" s="52">
        <v>6480</v>
      </c>
      <c r="B191" s="12" t="s">
        <v>799</v>
      </c>
      <c r="C191" s="12" t="s">
        <v>398</v>
      </c>
      <c r="D191" s="12" t="s">
        <v>367</v>
      </c>
      <c r="E191" s="12">
        <v>0</v>
      </c>
      <c r="F191" s="12">
        <v>0</v>
      </c>
      <c r="G191" s="12">
        <v>100</v>
      </c>
      <c r="H191" s="12">
        <v>0</v>
      </c>
      <c r="I191" s="12" t="s">
        <v>401</v>
      </c>
      <c r="J191" s="12">
        <v>18.5418</v>
      </c>
      <c r="K191" s="12">
        <v>1</v>
      </c>
      <c r="L191" s="11">
        <f t="shared" si="11"/>
        <v>6480</v>
      </c>
      <c r="M191" s="57" t="s">
        <v>918</v>
      </c>
      <c r="N191" s="110">
        <v>591</v>
      </c>
      <c r="O191" s="57">
        <v>580</v>
      </c>
      <c r="P191" s="58">
        <v>40255.645833333336</v>
      </c>
      <c r="Q191" s="59">
        <v>73499875</v>
      </c>
      <c r="R191" s="4">
        <f t="shared" si="9"/>
        <v>35384160029.75475</v>
      </c>
      <c r="S191" s="4">
        <f t="shared" si="9"/>
        <v>0</v>
      </c>
      <c r="T191" s="4">
        <f t="shared" si="10"/>
        <v>34725571602.80501</v>
      </c>
      <c r="U191" s="4">
        <f t="shared" si="10"/>
        <v>0</v>
      </c>
      <c r="V191" s="4"/>
    </row>
    <row r="192" spans="1:22" ht="15.75">
      <c r="A192" s="52">
        <v>6498</v>
      </c>
      <c r="B192" s="12" t="s">
        <v>150</v>
      </c>
      <c r="C192" s="12" t="s">
        <v>398</v>
      </c>
      <c r="D192" s="12" t="s">
        <v>367</v>
      </c>
      <c r="E192" s="12">
        <v>0</v>
      </c>
      <c r="F192" s="12">
        <v>0</v>
      </c>
      <c r="G192" s="12">
        <v>76.6636</v>
      </c>
      <c r="H192" s="12">
        <v>23.3364</v>
      </c>
      <c r="I192" s="12" t="s">
        <v>401</v>
      </c>
      <c r="J192" s="12">
        <v>59.4504</v>
      </c>
      <c r="K192" s="12">
        <v>1</v>
      </c>
      <c r="L192" s="11">
        <f t="shared" si="11"/>
        <v>6498</v>
      </c>
      <c r="M192" s="57" t="s">
        <v>918</v>
      </c>
      <c r="N192" s="110">
        <v>504</v>
      </c>
      <c r="O192" s="57">
        <v>515</v>
      </c>
      <c r="P192" s="58">
        <v>40255.645833333336</v>
      </c>
      <c r="Q192" s="59">
        <v>120396511</v>
      </c>
      <c r="R192" s="4">
        <f t="shared" si="9"/>
        <v>18863410753.87698</v>
      </c>
      <c r="S192" s="4">
        <f t="shared" si="9"/>
        <v>5742022272.8488455</v>
      </c>
      <c r="T192" s="4">
        <f t="shared" si="10"/>
        <v>19275112179.0608</v>
      </c>
      <c r="U192" s="4">
        <f t="shared" si="10"/>
        <v>5867344187.5340395</v>
      </c>
      <c r="V192" s="4"/>
    </row>
    <row r="193" spans="1:22" ht="15.75">
      <c r="A193" s="52">
        <v>6504</v>
      </c>
      <c r="B193" s="12" t="s">
        <v>1166</v>
      </c>
      <c r="C193" s="12" t="s">
        <v>398</v>
      </c>
      <c r="D193" s="12" t="s">
        <v>368</v>
      </c>
      <c r="E193" s="12">
        <v>0</v>
      </c>
      <c r="F193" s="12">
        <v>0</v>
      </c>
      <c r="G193" s="12">
        <v>7.8882</v>
      </c>
      <c r="H193" s="12">
        <v>92.1118</v>
      </c>
      <c r="I193" s="12" t="s">
        <v>401</v>
      </c>
      <c r="J193" s="12">
        <v>32.9157</v>
      </c>
      <c r="K193" s="12">
        <v>1</v>
      </c>
      <c r="L193" s="11">
        <f t="shared" si="11"/>
        <v>6504</v>
      </c>
      <c r="M193" s="57" t="s">
        <v>918</v>
      </c>
      <c r="N193" s="110">
        <v>253</v>
      </c>
      <c r="O193" s="57">
        <v>260</v>
      </c>
      <c r="P193" s="58">
        <v>40255.645833333336</v>
      </c>
      <c r="Q193" s="59">
        <v>746484957</v>
      </c>
      <c r="R193" s="4">
        <f t="shared" si="9"/>
        <v>9994023982.265015</v>
      </c>
      <c r="S193" s="4">
        <f t="shared" si="9"/>
        <v>116701850643.94897</v>
      </c>
      <c r="T193" s="4">
        <f t="shared" si="10"/>
        <v>10270538479.798037</v>
      </c>
      <c r="U193" s="4">
        <f t="shared" si="10"/>
        <v>119930755602.4772</v>
      </c>
      <c r="V193" s="4"/>
    </row>
    <row r="194" spans="1:22" ht="15.75">
      <c r="A194" s="52">
        <v>6505</v>
      </c>
      <c r="B194" s="12" t="s">
        <v>151</v>
      </c>
      <c r="C194" s="12" t="s">
        <v>398</v>
      </c>
      <c r="D194" s="12" t="s">
        <v>368</v>
      </c>
      <c r="E194" s="12">
        <v>0</v>
      </c>
      <c r="F194" s="12">
        <v>0</v>
      </c>
      <c r="G194" s="12">
        <v>0</v>
      </c>
      <c r="H194" s="12">
        <v>100</v>
      </c>
      <c r="I194" s="12" t="s">
        <v>401</v>
      </c>
      <c r="J194" s="12">
        <v>35.4878</v>
      </c>
      <c r="K194" s="12">
        <v>1</v>
      </c>
      <c r="L194" s="11">
        <f t="shared" si="11"/>
        <v>6505</v>
      </c>
      <c r="M194" s="57" t="s">
        <v>918</v>
      </c>
      <c r="N194" s="110">
        <v>635</v>
      </c>
      <c r="O194" s="57">
        <v>629</v>
      </c>
      <c r="P194" s="58">
        <v>40255.645833333336</v>
      </c>
      <c r="Q194" s="59">
        <v>46575000</v>
      </c>
      <c r="R194" s="4">
        <f t="shared" si="9"/>
        <v>0</v>
      </c>
      <c r="S194" s="4">
        <f t="shared" si="9"/>
        <v>19079563790.250004</v>
      </c>
      <c r="T194" s="4">
        <f t="shared" si="10"/>
        <v>0</v>
      </c>
      <c r="U194" s="4">
        <f t="shared" si="10"/>
        <v>18899284447.350002</v>
      </c>
      <c r="V194" s="4"/>
    </row>
    <row r="195" spans="1:22" ht="15.75">
      <c r="A195" s="52">
        <v>6508</v>
      </c>
      <c r="B195" s="12" t="s">
        <v>800</v>
      </c>
      <c r="C195" s="12" t="s">
        <v>398</v>
      </c>
      <c r="D195" s="12" t="s">
        <v>368</v>
      </c>
      <c r="E195" s="12">
        <v>0</v>
      </c>
      <c r="F195" s="12">
        <v>0</v>
      </c>
      <c r="G195" s="12">
        <v>0</v>
      </c>
      <c r="H195" s="12">
        <v>100</v>
      </c>
      <c r="I195" s="12" t="s">
        <v>401</v>
      </c>
      <c r="J195" s="12">
        <v>38.1677</v>
      </c>
      <c r="K195" s="12">
        <v>1</v>
      </c>
      <c r="L195" s="11">
        <f t="shared" si="11"/>
        <v>6508</v>
      </c>
      <c r="M195" s="57" t="s">
        <v>918</v>
      </c>
      <c r="N195" s="110">
        <v>421</v>
      </c>
      <c r="O195" s="57">
        <v>423</v>
      </c>
      <c r="P195" s="58">
        <v>40255.645833333336</v>
      </c>
      <c r="Q195" s="59">
        <v>227637704</v>
      </c>
      <c r="R195" s="4">
        <f t="shared" si="9"/>
        <v>0</v>
      </c>
      <c r="S195" s="4">
        <f t="shared" si="9"/>
        <v>59257277409.21503</v>
      </c>
      <c r="T195" s="4">
        <f t="shared" si="10"/>
        <v>0</v>
      </c>
      <c r="U195" s="4">
        <f t="shared" si="10"/>
        <v>59538784665.31581</v>
      </c>
      <c r="V195" s="4"/>
    </row>
    <row r="196" spans="1:22" ht="15.75">
      <c r="A196" s="52">
        <v>6581</v>
      </c>
      <c r="B196" s="12" t="s">
        <v>801</v>
      </c>
      <c r="C196" s="12" t="s">
        <v>398</v>
      </c>
      <c r="D196" s="12" t="s">
        <v>367</v>
      </c>
      <c r="E196" s="12">
        <v>0</v>
      </c>
      <c r="F196" s="12">
        <v>0</v>
      </c>
      <c r="G196" s="12">
        <v>78.1289</v>
      </c>
      <c r="H196" s="12">
        <v>21.8711</v>
      </c>
      <c r="I196" s="12" t="s">
        <v>401</v>
      </c>
      <c r="J196" s="12">
        <v>73.7099</v>
      </c>
      <c r="K196" s="12">
        <v>1</v>
      </c>
      <c r="L196" s="11">
        <f t="shared" si="11"/>
        <v>6581</v>
      </c>
      <c r="M196" s="57" t="s">
        <v>918</v>
      </c>
      <c r="N196" s="110">
        <v>992</v>
      </c>
      <c r="O196" s="57">
        <v>1004</v>
      </c>
      <c r="P196" s="58">
        <v>40255.645833333336</v>
      </c>
      <c r="Q196" s="59">
        <v>123072776</v>
      </c>
      <c r="R196" s="4">
        <f t="shared" si="9"/>
        <v>25077117596.6826</v>
      </c>
      <c r="S196" s="4">
        <f t="shared" si="9"/>
        <v>7019990639.427983</v>
      </c>
      <c r="T196" s="4">
        <f t="shared" si="10"/>
        <v>25380469825.674732</v>
      </c>
      <c r="U196" s="4">
        <f t="shared" si="10"/>
        <v>7104909881.033966</v>
      </c>
      <c r="V196" s="4"/>
    </row>
    <row r="197" spans="1:22" ht="15.75">
      <c r="A197" s="52">
        <v>6588</v>
      </c>
      <c r="B197" s="12" t="s">
        <v>802</v>
      </c>
      <c r="C197" s="12" t="s">
        <v>398</v>
      </c>
      <c r="D197" s="12" t="s">
        <v>368</v>
      </c>
      <c r="E197" s="12">
        <v>0</v>
      </c>
      <c r="F197" s="12">
        <v>0</v>
      </c>
      <c r="G197" s="12">
        <v>100</v>
      </c>
      <c r="H197" s="12">
        <v>0</v>
      </c>
      <c r="I197" s="12" t="s">
        <v>401</v>
      </c>
      <c r="J197" s="12">
        <v>59.2884</v>
      </c>
      <c r="K197" s="12">
        <v>1</v>
      </c>
      <c r="L197" s="11">
        <f t="shared" si="11"/>
        <v>6588</v>
      </c>
      <c r="M197" s="57" t="s">
        <v>918</v>
      </c>
      <c r="N197" s="110">
        <v>350</v>
      </c>
      <c r="O197" s="57">
        <v>351</v>
      </c>
      <c r="P197" s="58">
        <v>40255.645833333336</v>
      </c>
      <c r="Q197" s="59">
        <v>288145704</v>
      </c>
      <c r="R197" s="4">
        <f t="shared" si="9"/>
        <v>41058054250.3824</v>
      </c>
      <c r="S197" s="4">
        <f t="shared" si="9"/>
        <v>0</v>
      </c>
      <c r="T197" s="4">
        <f t="shared" si="10"/>
        <v>41175362976.812065</v>
      </c>
      <c r="U197" s="4">
        <f t="shared" si="10"/>
        <v>0</v>
      </c>
      <c r="V197" s="4"/>
    </row>
    <row r="198" spans="1:22" ht="15.75">
      <c r="A198" s="52">
        <v>6622</v>
      </c>
      <c r="B198" s="12" t="s">
        <v>152</v>
      </c>
      <c r="C198" s="12" t="s">
        <v>398</v>
      </c>
      <c r="D198" s="12" t="s">
        <v>368</v>
      </c>
      <c r="E198" s="12">
        <v>0</v>
      </c>
      <c r="F198" s="12">
        <v>0</v>
      </c>
      <c r="G198" s="12">
        <v>100</v>
      </c>
      <c r="H198" s="12">
        <v>0</v>
      </c>
      <c r="I198" s="12" t="s">
        <v>401</v>
      </c>
      <c r="J198" s="12">
        <v>34.6441</v>
      </c>
      <c r="K198" s="12">
        <v>1</v>
      </c>
      <c r="L198" s="11">
        <f t="shared" si="11"/>
        <v>6622</v>
      </c>
      <c r="M198" s="57" t="s">
        <v>918</v>
      </c>
      <c r="N198" s="110">
        <v>424</v>
      </c>
      <c r="O198" s="57">
        <v>433</v>
      </c>
      <c r="P198" s="58">
        <v>40255.645833333336</v>
      </c>
      <c r="Q198" s="59">
        <v>135516455</v>
      </c>
      <c r="R198" s="4">
        <f t="shared" si="9"/>
        <v>37552831496.85828</v>
      </c>
      <c r="S198" s="4">
        <f t="shared" si="9"/>
        <v>0</v>
      </c>
      <c r="T198" s="4">
        <f t="shared" si="10"/>
        <v>38349943486.17838</v>
      </c>
      <c r="U198" s="4">
        <f t="shared" si="10"/>
        <v>0</v>
      </c>
      <c r="V198" s="4"/>
    </row>
    <row r="199" spans="1:22" ht="15.75">
      <c r="A199" s="52">
        <v>6632</v>
      </c>
      <c r="B199" s="12" t="s">
        <v>153</v>
      </c>
      <c r="C199" s="12" t="s">
        <v>398</v>
      </c>
      <c r="D199" s="12" t="s">
        <v>368</v>
      </c>
      <c r="E199" s="12">
        <v>0</v>
      </c>
      <c r="F199" s="12">
        <v>0</v>
      </c>
      <c r="G199" s="12">
        <v>100</v>
      </c>
      <c r="H199" s="12">
        <v>0</v>
      </c>
      <c r="I199" s="12" t="s">
        <v>401</v>
      </c>
      <c r="J199" s="12">
        <v>44.0158</v>
      </c>
      <c r="K199" s="12">
        <v>1</v>
      </c>
      <c r="L199" s="11">
        <f t="shared" si="11"/>
        <v>6632</v>
      </c>
      <c r="M199" s="57" t="s">
        <v>918</v>
      </c>
      <c r="N199" s="110">
        <v>37</v>
      </c>
      <c r="O199" s="57">
        <v>38</v>
      </c>
      <c r="P199" s="58">
        <v>40255.645833333336</v>
      </c>
      <c r="Q199" s="59">
        <v>1090002015</v>
      </c>
      <c r="R199" s="4">
        <f t="shared" si="9"/>
        <v>22578469599.02031</v>
      </c>
      <c r="S199" s="4">
        <f t="shared" si="9"/>
        <v>0</v>
      </c>
      <c r="T199" s="4">
        <f t="shared" si="10"/>
        <v>23188698507.10194</v>
      </c>
      <c r="U199" s="4">
        <f t="shared" si="10"/>
        <v>0</v>
      </c>
      <c r="V199" s="4"/>
    </row>
    <row r="200" spans="1:22" ht="15.75">
      <c r="A200" s="52">
        <v>6676</v>
      </c>
      <c r="B200" s="12" t="s">
        <v>154</v>
      </c>
      <c r="C200" s="12" t="s">
        <v>398</v>
      </c>
      <c r="D200" s="12" t="s">
        <v>368</v>
      </c>
      <c r="E200" s="12">
        <v>0</v>
      </c>
      <c r="F200" s="12">
        <v>0</v>
      </c>
      <c r="G200" s="12">
        <v>0</v>
      </c>
      <c r="H200" s="12">
        <v>100</v>
      </c>
      <c r="I200" s="12" t="s">
        <v>401</v>
      </c>
      <c r="J200" s="12">
        <v>38.9787</v>
      </c>
      <c r="K200" s="12">
        <v>1</v>
      </c>
      <c r="L200" s="11">
        <f t="shared" si="11"/>
        <v>6676</v>
      </c>
      <c r="M200" s="57" t="s">
        <v>918</v>
      </c>
      <c r="N200" s="110">
        <v>2040</v>
      </c>
      <c r="O200" s="57">
        <v>2025</v>
      </c>
      <c r="P200" s="58">
        <v>40255.645833333336</v>
      </c>
      <c r="Q200" s="59">
        <v>22237873</v>
      </c>
      <c r="R200" s="4">
        <f t="shared" si="9"/>
        <v>0</v>
      </c>
      <c r="S200" s="4">
        <f t="shared" si="9"/>
        <v>27682471961.77596</v>
      </c>
      <c r="T200" s="4">
        <f t="shared" si="10"/>
        <v>0</v>
      </c>
      <c r="U200" s="4">
        <f t="shared" si="10"/>
        <v>27478924373.82172</v>
      </c>
      <c r="V200" s="4"/>
    </row>
    <row r="201" spans="1:22" ht="15.75">
      <c r="A201" s="52">
        <v>6703</v>
      </c>
      <c r="B201" s="12" t="s">
        <v>803</v>
      </c>
      <c r="C201" s="12" t="s">
        <v>398</v>
      </c>
      <c r="D201" s="12" t="s">
        <v>368</v>
      </c>
      <c r="E201" s="12">
        <v>0</v>
      </c>
      <c r="F201" s="12">
        <v>0</v>
      </c>
      <c r="G201" s="12">
        <v>0</v>
      </c>
      <c r="H201" s="12">
        <v>100</v>
      </c>
      <c r="I201" s="12" t="s">
        <v>401</v>
      </c>
      <c r="J201" s="12">
        <v>13.726</v>
      </c>
      <c r="K201" s="12">
        <v>1</v>
      </c>
      <c r="L201" s="11">
        <f t="shared" si="11"/>
        <v>6703</v>
      </c>
      <c r="M201" s="57" t="s">
        <v>918</v>
      </c>
      <c r="N201" s="110">
        <v>74</v>
      </c>
      <c r="O201" s="57">
        <v>77</v>
      </c>
      <c r="P201" s="58">
        <v>40255.645833333336</v>
      </c>
      <c r="Q201" s="59">
        <v>684256778</v>
      </c>
      <c r="R201" s="4">
        <f t="shared" si="9"/>
        <v>0</v>
      </c>
      <c r="S201" s="4">
        <f t="shared" si="9"/>
        <v>43684841256.22728</v>
      </c>
      <c r="T201" s="4">
        <f t="shared" si="10"/>
        <v>0</v>
      </c>
      <c r="U201" s="4">
        <f t="shared" si="10"/>
        <v>45455848334.182434</v>
      </c>
      <c r="V201" s="4"/>
    </row>
    <row r="202" spans="1:22" ht="15.75">
      <c r="A202" s="52">
        <v>6707</v>
      </c>
      <c r="B202" s="12" t="s">
        <v>804</v>
      </c>
      <c r="C202" s="12" t="s">
        <v>398</v>
      </c>
      <c r="D202" s="12" t="s">
        <v>368</v>
      </c>
      <c r="E202" s="12">
        <v>0</v>
      </c>
      <c r="F202" s="12">
        <v>0</v>
      </c>
      <c r="G202" s="12">
        <v>100</v>
      </c>
      <c r="H202" s="12">
        <v>0</v>
      </c>
      <c r="I202" s="12" t="s">
        <v>401</v>
      </c>
      <c r="J202" s="12">
        <v>18.5723</v>
      </c>
      <c r="K202" s="12">
        <v>1</v>
      </c>
      <c r="L202" s="11">
        <f t="shared" si="11"/>
        <v>6707</v>
      </c>
      <c r="M202" s="57" t="s">
        <v>918</v>
      </c>
      <c r="N202" s="110">
        <v>340</v>
      </c>
      <c r="O202" s="57">
        <v>343</v>
      </c>
      <c r="P202" s="58">
        <v>40255.645833333336</v>
      </c>
      <c r="Q202" s="59">
        <v>125490302</v>
      </c>
      <c r="R202" s="4">
        <f t="shared" si="9"/>
        <v>34742514658.16236</v>
      </c>
      <c r="S202" s="4">
        <f t="shared" si="9"/>
        <v>0</v>
      </c>
      <c r="T202" s="4">
        <f t="shared" si="10"/>
        <v>35049066258.087326</v>
      </c>
      <c r="U202" s="4">
        <f t="shared" si="10"/>
        <v>0</v>
      </c>
      <c r="V202" s="4"/>
    </row>
    <row r="203" spans="1:22" ht="15.75">
      <c r="A203" s="52">
        <v>6723</v>
      </c>
      <c r="B203" s="12" t="s">
        <v>805</v>
      </c>
      <c r="C203" s="12" t="s">
        <v>398</v>
      </c>
      <c r="D203" s="12" t="s">
        <v>368</v>
      </c>
      <c r="E203" s="12">
        <v>0</v>
      </c>
      <c r="F203" s="12">
        <v>0</v>
      </c>
      <c r="G203" s="12">
        <v>63.4652</v>
      </c>
      <c r="H203" s="12">
        <v>36.5348</v>
      </c>
      <c r="I203" s="12" t="s">
        <v>401</v>
      </c>
      <c r="J203" s="12">
        <v>72.4243</v>
      </c>
      <c r="K203" s="12">
        <v>1</v>
      </c>
      <c r="L203" s="11">
        <f t="shared" si="11"/>
        <v>6723</v>
      </c>
      <c r="M203" s="57" t="s">
        <v>918</v>
      </c>
      <c r="N203" s="110">
        <v>928</v>
      </c>
      <c r="O203" s="57">
        <v>947</v>
      </c>
      <c r="P203" s="58">
        <v>40255.645833333336</v>
      </c>
      <c r="Q203" s="59">
        <v>123500000</v>
      </c>
      <c r="R203" s="4">
        <f t="shared" si="9"/>
        <v>20057515315.086914</v>
      </c>
      <c r="S203" s="4">
        <f t="shared" si="9"/>
        <v>11546442940.913086</v>
      </c>
      <c r="T203" s="4">
        <f t="shared" si="10"/>
        <v>20468175650.201836</v>
      </c>
      <c r="U203" s="4">
        <f t="shared" si="10"/>
        <v>11782846406.298159</v>
      </c>
      <c r="V203" s="4"/>
    </row>
    <row r="204" spans="1:22" ht="15.75">
      <c r="A204" s="52">
        <v>6727</v>
      </c>
      <c r="B204" s="12" t="s">
        <v>806</v>
      </c>
      <c r="C204" s="12" t="s">
        <v>398</v>
      </c>
      <c r="D204" s="12" t="s">
        <v>368</v>
      </c>
      <c r="E204" s="12">
        <v>0</v>
      </c>
      <c r="F204" s="12">
        <v>0</v>
      </c>
      <c r="G204" s="12">
        <v>0</v>
      </c>
      <c r="H204" s="12">
        <v>100</v>
      </c>
      <c r="I204" s="12" t="s">
        <v>401</v>
      </c>
      <c r="J204" s="12">
        <v>15.1222</v>
      </c>
      <c r="K204" s="12">
        <v>1</v>
      </c>
      <c r="L204" s="11">
        <f t="shared" si="11"/>
        <v>6727</v>
      </c>
      <c r="M204" s="57" t="s">
        <v>918</v>
      </c>
      <c r="N204" s="110">
        <v>140600</v>
      </c>
      <c r="O204" s="57">
        <v>144400</v>
      </c>
      <c r="P204" s="58">
        <v>40255.645833333336</v>
      </c>
      <c r="Q204" s="59">
        <v>421776</v>
      </c>
      <c r="R204" s="4">
        <f t="shared" si="9"/>
        <v>0</v>
      </c>
      <c r="S204" s="4">
        <f t="shared" si="9"/>
        <v>50333983075.7568</v>
      </c>
      <c r="T204" s="4">
        <f t="shared" si="10"/>
        <v>0</v>
      </c>
      <c r="U204" s="4">
        <f t="shared" si="10"/>
        <v>51694360996.7232</v>
      </c>
      <c r="V204" s="4"/>
    </row>
    <row r="205" spans="1:22" ht="15.75">
      <c r="A205" s="52">
        <v>6728</v>
      </c>
      <c r="B205" s="12" t="s">
        <v>807</v>
      </c>
      <c r="C205" s="12" t="s">
        <v>398</v>
      </c>
      <c r="D205" s="12" t="s">
        <v>368</v>
      </c>
      <c r="E205" s="12">
        <v>0</v>
      </c>
      <c r="F205" s="12">
        <v>0</v>
      </c>
      <c r="G205" s="12">
        <v>70.3169</v>
      </c>
      <c r="H205" s="12">
        <v>29.6831</v>
      </c>
      <c r="I205" s="12" t="s">
        <v>401</v>
      </c>
      <c r="J205" s="12">
        <v>40.0832</v>
      </c>
      <c r="K205" s="12">
        <v>1</v>
      </c>
      <c r="L205" s="11">
        <f t="shared" si="11"/>
        <v>6728</v>
      </c>
      <c r="M205" s="57" t="s">
        <v>918</v>
      </c>
      <c r="N205" s="110">
        <v>2370</v>
      </c>
      <c r="O205" s="57">
        <v>2385</v>
      </c>
      <c r="P205" s="58">
        <v>40255.645833333336</v>
      </c>
      <c r="Q205" s="59">
        <v>49355938</v>
      </c>
      <c r="R205" s="4">
        <f t="shared" si="9"/>
        <v>49282880414.60763</v>
      </c>
      <c r="S205" s="4">
        <f t="shared" si="9"/>
        <v>20803941408.60646</v>
      </c>
      <c r="T205" s="4">
        <f t="shared" si="10"/>
        <v>49594797379.257034</v>
      </c>
      <c r="U205" s="4">
        <f t="shared" si="10"/>
        <v>20935611923.850807</v>
      </c>
      <c r="V205" s="4"/>
    </row>
    <row r="206" spans="1:22" ht="15.75">
      <c r="A206" s="52">
        <v>6737</v>
      </c>
      <c r="B206" s="12" t="s">
        <v>157</v>
      </c>
      <c r="C206" s="12" t="s">
        <v>398</v>
      </c>
      <c r="D206" s="12" t="s">
        <v>368</v>
      </c>
      <c r="E206" s="12">
        <v>0</v>
      </c>
      <c r="F206" s="12">
        <v>0</v>
      </c>
      <c r="G206" s="12">
        <v>100</v>
      </c>
      <c r="H206" s="12">
        <v>0</v>
      </c>
      <c r="I206" s="12" t="s">
        <v>401</v>
      </c>
      <c r="J206" s="12">
        <v>31.4804</v>
      </c>
      <c r="K206" s="12">
        <v>1</v>
      </c>
      <c r="L206" s="11">
        <f t="shared" si="11"/>
        <v>6737</v>
      </c>
      <c r="M206" s="57" t="s">
        <v>918</v>
      </c>
      <c r="N206" s="110">
        <v>2205</v>
      </c>
      <c r="O206" s="57">
        <v>2192</v>
      </c>
      <c r="P206" s="58">
        <v>40255.645833333336</v>
      </c>
      <c r="Q206" s="59">
        <v>22731160</v>
      </c>
      <c r="R206" s="4">
        <f t="shared" si="9"/>
        <v>34343536295.7288</v>
      </c>
      <c r="S206" s="4">
        <f t="shared" si="9"/>
        <v>0</v>
      </c>
      <c r="T206" s="4">
        <f t="shared" si="10"/>
        <v>34141057396.933117</v>
      </c>
      <c r="U206" s="4">
        <f t="shared" si="10"/>
        <v>0</v>
      </c>
      <c r="V206" s="4"/>
    </row>
    <row r="207" spans="1:22" ht="15.75">
      <c r="A207" s="52">
        <v>6741</v>
      </c>
      <c r="B207" s="12" t="s">
        <v>73</v>
      </c>
      <c r="C207" s="12" t="s">
        <v>398</v>
      </c>
      <c r="D207" s="12" t="s">
        <v>368</v>
      </c>
      <c r="E207" s="12">
        <v>0</v>
      </c>
      <c r="F207" s="12">
        <v>0</v>
      </c>
      <c r="G207" s="12">
        <v>72.9549</v>
      </c>
      <c r="H207" s="12">
        <v>27.0451</v>
      </c>
      <c r="I207" s="12" t="s">
        <v>401</v>
      </c>
      <c r="J207" s="12">
        <v>40.3344</v>
      </c>
      <c r="K207" s="12">
        <v>1</v>
      </c>
      <c r="L207" s="11">
        <f t="shared" si="11"/>
        <v>6741</v>
      </c>
      <c r="M207" s="57" t="s">
        <v>918</v>
      </c>
      <c r="N207" s="110">
        <v>824</v>
      </c>
      <c r="O207" s="57">
        <v>832</v>
      </c>
      <c r="P207" s="58">
        <v>40255.645833333336</v>
      </c>
      <c r="Q207" s="59">
        <v>62448052</v>
      </c>
      <c r="R207" s="4">
        <f aca="true" t="shared" si="12" ref="R207:S270">(E207+G207)*(100-$J207)*$N207*$Q207/10000</f>
        <v>22398791443.870445</v>
      </c>
      <c r="S207" s="4">
        <f t="shared" si="12"/>
        <v>8303452605.357839</v>
      </c>
      <c r="T207" s="4">
        <f t="shared" si="10"/>
        <v>22616255438.47113</v>
      </c>
      <c r="U207" s="4">
        <f t="shared" si="10"/>
        <v>8384068650.070051</v>
      </c>
      <c r="V207" s="4"/>
    </row>
    <row r="208" spans="1:22" ht="15.75">
      <c r="A208" s="52">
        <v>6754</v>
      </c>
      <c r="B208" s="12" t="s">
        <v>158</v>
      </c>
      <c r="C208" s="12" t="s">
        <v>398</v>
      </c>
      <c r="D208" s="12" t="s">
        <v>368</v>
      </c>
      <c r="E208" s="12">
        <v>0</v>
      </c>
      <c r="F208" s="12">
        <v>0</v>
      </c>
      <c r="G208" s="12">
        <v>14.1855</v>
      </c>
      <c r="H208" s="12">
        <v>85.8145</v>
      </c>
      <c r="I208" s="12" t="s">
        <v>401</v>
      </c>
      <c r="J208" s="12">
        <v>32.1545</v>
      </c>
      <c r="K208" s="12">
        <v>1</v>
      </c>
      <c r="L208" s="11">
        <f t="shared" si="11"/>
        <v>6754</v>
      </c>
      <c r="M208" s="57" t="s">
        <v>918</v>
      </c>
      <c r="N208" s="110">
        <v>344</v>
      </c>
      <c r="O208" s="57">
        <v>356</v>
      </c>
      <c r="P208" s="58">
        <v>40255.645833333336</v>
      </c>
      <c r="Q208" s="59">
        <v>128037848</v>
      </c>
      <c r="R208" s="4">
        <f t="shared" si="12"/>
        <v>4238991094.7580414</v>
      </c>
      <c r="S208" s="4">
        <f t="shared" si="12"/>
        <v>25643572753.946915</v>
      </c>
      <c r="T208" s="4">
        <f aca="true" t="shared" si="13" ref="T208:U271">(E208+G208)*(100-$J208)*$O208*$Q208/10000</f>
        <v>4386862877.133323</v>
      </c>
      <c r="U208" s="4">
        <f t="shared" si="13"/>
        <v>26538115989.549717</v>
      </c>
      <c r="V208" s="4"/>
    </row>
    <row r="209" spans="1:22" ht="15.75">
      <c r="A209" s="52">
        <v>6756</v>
      </c>
      <c r="B209" s="12" t="s">
        <v>808</v>
      </c>
      <c r="C209" s="12" t="s">
        <v>398</v>
      </c>
      <c r="D209" s="12" t="s">
        <v>368</v>
      </c>
      <c r="E209" s="12">
        <v>0</v>
      </c>
      <c r="F209" s="12">
        <v>0</v>
      </c>
      <c r="G209" s="12">
        <v>100</v>
      </c>
      <c r="H209" s="12">
        <v>0</v>
      </c>
      <c r="I209" s="12" t="s">
        <v>401</v>
      </c>
      <c r="J209" s="12">
        <v>54.4383</v>
      </c>
      <c r="K209" s="12">
        <v>1</v>
      </c>
      <c r="L209" s="11">
        <f aca="true" t="shared" si="14" ref="L209:L272">A209</f>
        <v>6756</v>
      </c>
      <c r="M209" s="57" t="s">
        <v>918</v>
      </c>
      <c r="N209" s="110">
        <v>861</v>
      </c>
      <c r="O209" s="57">
        <v>882</v>
      </c>
      <c r="P209" s="58">
        <v>40255.645833333336</v>
      </c>
      <c r="Q209" s="59">
        <v>105221259</v>
      </c>
      <c r="R209" s="4">
        <f t="shared" si="12"/>
        <v>41276851745.51238</v>
      </c>
      <c r="S209" s="4">
        <f t="shared" si="12"/>
        <v>0</v>
      </c>
      <c r="T209" s="4">
        <f t="shared" si="13"/>
        <v>42283604227.110245</v>
      </c>
      <c r="U209" s="4">
        <f t="shared" si="13"/>
        <v>0</v>
      </c>
      <c r="V209" s="4"/>
    </row>
    <row r="210" spans="1:22" ht="15.75">
      <c r="A210" s="52">
        <v>6770</v>
      </c>
      <c r="B210" s="12" t="s">
        <v>1167</v>
      </c>
      <c r="C210" s="12" t="s">
        <v>398</v>
      </c>
      <c r="D210" s="12" t="s">
        <v>368</v>
      </c>
      <c r="E210" s="12">
        <v>0</v>
      </c>
      <c r="F210" s="12">
        <v>0</v>
      </c>
      <c r="G210" s="12">
        <v>100</v>
      </c>
      <c r="H210" s="12">
        <v>0</v>
      </c>
      <c r="I210" s="12" t="s">
        <v>401</v>
      </c>
      <c r="J210" s="12">
        <v>14.0639</v>
      </c>
      <c r="K210" s="12">
        <v>1</v>
      </c>
      <c r="L210" s="11">
        <f t="shared" si="14"/>
        <v>6770</v>
      </c>
      <c r="M210" s="57" t="s">
        <v>918</v>
      </c>
      <c r="N210" s="110">
        <v>588</v>
      </c>
      <c r="O210" s="57">
        <v>596</v>
      </c>
      <c r="P210" s="58">
        <v>40255.645833333336</v>
      </c>
      <c r="Q210" s="59">
        <v>181559956</v>
      </c>
      <c r="R210" s="4">
        <f t="shared" si="12"/>
        <v>91743020664.6922</v>
      </c>
      <c r="S210" s="4">
        <f t="shared" si="12"/>
        <v>0</v>
      </c>
      <c r="T210" s="4">
        <f t="shared" si="13"/>
        <v>92991225027.47713</v>
      </c>
      <c r="U210" s="4">
        <f t="shared" si="13"/>
        <v>0</v>
      </c>
      <c r="V210" s="4"/>
    </row>
    <row r="211" spans="1:22" ht="15.75">
      <c r="A211" s="52">
        <v>6773</v>
      </c>
      <c r="B211" s="12" t="s">
        <v>1168</v>
      </c>
      <c r="C211" s="12" t="s">
        <v>398</v>
      </c>
      <c r="D211" s="12" t="s">
        <v>368</v>
      </c>
      <c r="E211" s="12">
        <v>0</v>
      </c>
      <c r="F211" s="12">
        <v>0</v>
      </c>
      <c r="G211" s="12">
        <v>100</v>
      </c>
      <c r="H211" s="12">
        <v>0</v>
      </c>
      <c r="I211" s="12" t="s">
        <v>401</v>
      </c>
      <c r="J211" s="12">
        <v>28.2637</v>
      </c>
      <c r="K211" s="12">
        <v>1</v>
      </c>
      <c r="L211" s="11">
        <f t="shared" si="14"/>
        <v>6773</v>
      </c>
      <c r="M211" s="57" t="s">
        <v>918</v>
      </c>
      <c r="N211" s="110">
        <v>315</v>
      </c>
      <c r="O211" s="57">
        <v>321</v>
      </c>
      <c r="P211" s="58">
        <v>40255.645833333336</v>
      </c>
      <c r="Q211" s="59">
        <v>311393836</v>
      </c>
      <c r="R211" s="4">
        <f t="shared" si="12"/>
        <v>70365461157.95743</v>
      </c>
      <c r="S211" s="4">
        <f t="shared" si="12"/>
        <v>0</v>
      </c>
      <c r="T211" s="4">
        <f t="shared" si="13"/>
        <v>71705755656.20422</v>
      </c>
      <c r="U211" s="4">
        <f t="shared" si="13"/>
        <v>0</v>
      </c>
      <c r="V211" s="4"/>
    </row>
    <row r="212" spans="1:22" ht="15.75">
      <c r="A212" s="52">
        <v>6779</v>
      </c>
      <c r="B212" s="12" t="s">
        <v>159</v>
      </c>
      <c r="C212" s="12" t="s">
        <v>398</v>
      </c>
      <c r="D212" s="12" t="s">
        <v>368</v>
      </c>
      <c r="E212" s="12">
        <v>0</v>
      </c>
      <c r="F212" s="12">
        <v>0</v>
      </c>
      <c r="G212" s="12">
        <v>0</v>
      </c>
      <c r="H212" s="12">
        <v>100</v>
      </c>
      <c r="I212" s="12" t="s">
        <v>401</v>
      </c>
      <c r="J212" s="12">
        <v>32.0299</v>
      </c>
      <c r="K212" s="12">
        <v>1</v>
      </c>
      <c r="L212" s="11">
        <f t="shared" si="14"/>
        <v>6779</v>
      </c>
      <c r="M212" s="57" t="s">
        <v>918</v>
      </c>
      <c r="N212" s="110">
        <v>1898</v>
      </c>
      <c r="O212" s="57">
        <v>1948</v>
      </c>
      <c r="P212" s="58">
        <v>40255.645833333336</v>
      </c>
      <c r="Q212" s="59">
        <v>20757905</v>
      </c>
      <c r="R212" s="4">
        <f t="shared" si="12"/>
        <v>0</v>
      </c>
      <c r="S212" s="4">
        <f t="shared" si="12"/>
        <v>26779202356.59669</v>
      </c>
      <c r="T212" s="4">
        <f t="shared" si="13"/>
        <v>0</v>
      </c>
      <c r="U212" s="4">
        <f t="shared" si="13"/>
        <v>27484660795.91694</v>
      </c>
      <c r="V212" s="4"/>
    </row>
    <row r="213" spans="1:22" ht="15.75">
      <c r="A213" s="52">
        <v>6794</v>
      </c>
      <c r="B213" s="12" t="s">
        <v>160</v>
      </c>
      <c r="C213" s="12" t="s">
        <v>398</v>
      </c>
      <c r="D213" s="12" t="s">
        <v>368</v>
      </c>
      <c r="E213" s="12">
        <v>0</v>
      </c>
      <c r="F213" s="12">
        <v>0</v>
      </c>
      <c r="G213" s="12">
        <v>0</v>
      </c>
      <c r="H213" s="12">
        <v>100</v>
      </c>
      <c r="I213" s="12" t="s">
        <v>401</v>
      </c>
      <c r="J213" s="12">
        <v>32.1034</v>
      </c>
      <c r="K213" s="12">
        <v>1</v>
      </c>
      <c r="L213" s="11">
        <f t="shared" si="14"/>
        <v>6794</v>
      </c>
      <c r="M213" s="57" t="s">
        <v>918</v>
      </c>
      <c r="N213" s="110">
        <v>2339</v>
      </c>
      <c r="O213" s="57">
        <v>2380</v>
      </c>
      <c r="P213" s="58">
        <v>40255.645833333336</v>
      </c>
      <c r="Q213" s="59">
        <v>24106015</v>
      </c>
      <c r="R213" s="4">
        <f t="shared" si="12"/>
        <v>0</v>
      </c>
      <c r="S213" s="4">
        <f t="shared" si="12"/>
        <v>38282797953.76611</v>
      </c>
      <c r="T213" s="4">
        <f t="shared" si="13"/>
        <v>0</v>
      </c>
      <c r="U213" s="4">
        <f t="shared" si="13"/>
        <v>38953851701.56621</v>
      </c>
      <c r="V213" s="4"/>
    </row>
    <row r="214" spans="1:22" ht="15.75">
      <c r="A214" s="52">
        <v>6798</v>
      </c>
      <c r="B214" s="12" t="s">
        <v>161</v>
      </c>
      <c r="C214" s="12" t="s">
        <v>398</v>
      </c>
      <c r="D214" s="12" t="s">
        <v>368</v>
      </c>
      <c r="E214" s="12">
        <v>0</v>
      </c>
      <c r="F214" s="12">
        <v>0</v>
      </c>
      <c r="G214" s="12">
        <v>0</v>
      </c>
      <c r="H214" s="12">
        <v>100</v>
      </c>
      <c r="I214" s="12" t="s">
        <v>401</v>
      </c>
      <c r="J214" s="12">
        <v>44.5172</v>
      </c>
      <c r="K214" s="12">
        <v>1</v>
      </c>
      <c r="L214" s="11">
        <f t="shared" si="14"/>
        <v>6798</v>
      </c>
      <c r="M214" s="57" t="s">
        <v>918</v>
      </c>
      <c r="N214" s="110">
        <v>462</v>
      </c>
      <c r="O214" s="57">
        <v>466</v>
      </c>
      <c r="P214" s="58">
        <v>40255.645833333336</v>
      </c>
      <c r="Q214" s="59">
        <v>79000000</v>
      </c>
      <c r="R214" s="4">
        <f t="shared" si="12"/>
        <v>0</v>
      </c>
      <c r="S214" s="4">
        <f t="shared" si="12"/>
        <v>20250112344</v>
      </c>
      <c r="T214" s="4">
        <f t="shared" si="13"/>
        <v>0</v>
      </c>
      <c r="U214" s="4">
        <f t="shared" si="13"/>
        <v>20425437992</v>
      </c>
      <c r="V214" s="4"/>
    </row>
    <row r="215" spans="1:22" ht="15.75">
      <c r="A215" s="52">
        <v>6804</v>
      </c>
      <c r="B215" s="12" t="s">
        <v>809</v>
      </c>
      <c r="C215" s="12" t="s">
        <v>404</v>
      </c>
      <c r="D215" s="12" t="s">
        <v>368</v>
      </c>
      <c r="E215" s="12">
        <v>0</v>
      </c>
      <c r="F215" s="12">
        <v>0</v>
      </c>
      <c r="G215" s="12">
        <v>100</v>
      </c>
      <c r="H215" s="12">
        <v>0</v>
      </c>
      <c r="I215" s="12" t="s">
        <v>401</v>
      </c>
      <c r="J215" s="12">
        <v>31.1626</v>
      </c>
      <c r="K215" s="12">
        <v>1</v>
      </c>
      <c r="L215" s="11">
        <f t="shared" si="14"/>
        <v>6804</v>
      </c>
      <c r="M215" s="57" t="s">
        <v>919</v>
      </c>
      <c r="N215" s="110">
        <v>1193</v>
      </c>
      <c r="O215" s="57">
        <v>1191</v>
      </c>
      <c r="P215" s="58">
        <v>40255.645833333336</v>
      </c>
      <c r="Q215" s="59">
        <v>72710084</v>
      </c>
      <c r="R215" s="4">
        <f t="shared" si="12"/>
        <v>59711715516.55529</v>
      </c>
      <c r="S215" s="4">
        <f t="shared" si="12"/>
        <v>0</v>
      </c>
      <c r="T215" s="4">
        <f t="shared" si="13"/>
        <v>59611612053.82845</v>
      </c>
      <c r="U215" s="4">
        <f t="shared" si="13"/>
        <v>0</v>
      </c>
      <c r="V215" s="4"/>
    </row>
    <row r="216" spans="1:22" ht="15.75">
      <c r="A216" s="52">
        <v>6807</v>
      </c>
      <c r="B216" s="12" t="s">
        <v>162</v>
      </c>
      <c r="C216" s="12" t="s">
        <v>398</v>
      </c>
      <c r="D216" s="12" t="s">
        <v>368</v>
      </c>
      <c r="E216" s="12">
        <v>0</v>
      </c>
      <c r="F216" s="12">
        <v>0</v>
      </c>
      <c r="G216" s="12">
        <v>100</v>
      </c>
      <c r="H216" s="12">
        <v>0</v>
      </c>
      <c r="I216" s="12" t="s">
        <v>401</v>
      </c>
      <c r="J216" s="12">
        <v>47.1388</v>
      </c>
      <c r="K216" s="12">
        <v>1</v>
      </c>
      <c r="L216" s="11">
        <f t="shared" si="14"/>
        <v>6807</v>
      </c>
      <c r="M216" s="57" t="s">
        <v>918</v>
      </c>
      <c r="N216" s="110">
        <v>686</v>
      </c>
      <c r="O216" s="57">
        <v>688</v>
      </c>
      <c r="P216" s="58">
        <v>40255.645833333336</v>
      </c>
      <c r="Q216" s="59">
        <v>92302608</v>
      </c>
      <c r="R216" s="4">
        <f t="shared" si="12"/>
        <v>33471494626.985855</v>
      </c>
      <c r="S216" s="4">
        <f t="shared" si="12"/>
        <v>0</v>
      </c>
      <c r="T216" s="4">
        <f t="shared" si="13"/>
        <v>33569079159.42605</v>
      </c>
      <c r="U216" s="4">
        <f t="shared" si="13"/>
        <v>0</v>
      </c>
      <c r="V216" s="4"/>
    </row>
    <row r="217" spans="1:22" ht="15.75">
      <c r="A217" s="52">
        <v>6816</v>
      </c>
      <c r="B217" s="12" t="s">
        <v>810</v>
      </c>
      <c r="C217" s="12" t="s">
        <v>398</v>
      </c>
      <c r="D217" s="12" t="s">
        <v>368</v>
      </c>
      <c r="E217" s="12">
        <v>0</v>
      </c>
      <c r="F217" s="12">
        <v>0</v>
      </c>
      <c r="G217" s="12">
        <v>100</v>
      </c>
      <c r="H217" s="12">
        <v>0</v>
      </c>
      <c r="I217" s="12" t="s">
        <v>401</v>
      </c>
      <c r="J217" s="12">
        <v>44.0195</v>
      </c>
      <c r="K217" s="12">
        <v>1</v>
      </c>
      <c r="L217" s="11">
        <f t="shared" si="14"/>
        <v>6816</v>
      </c>
      <c r="M217" s="57" t="s">
        <v>918</v>
      </c>
      <c r="N217" s="110">
        <v>1102</v>
      </c>
      <c r="O217" s="57">
        <v>1115</v>
      </c>
      <c r="P217" s="58">
        <v>40255.645833333336</v>
      </c>
      <c r="Q217" s="59">
        <v>69784501</v>
      </c>
      <c r="R217" s="4">
        <f t="shared" si="12"/>
        <v>43050415265.70011</v>
      </c>
      <c r="S217" s="4">
        <f t="shared" si="12"/>
        <v>0</v>
      </c>
      <c r="T217" s="4">
        <f t="shared" si="13"/>
        <v>43558269529.27007</v>
      </c>
      <c r="U217" s="4">
        <f t="shared" si="13"/>
        <v>0</v>
      </c>
      <c r="V217" s="4"/>
    </row>
    <row r="218" spans="1:22" ht="15.75">
      <c r="A218" s="52">
        <v>6839</v>
      </c>
      <c r="B218" s="12" t="s">
        <v>811</v>
      </c>
      <c r="C218" s="12" t="s">
        <v>404</v>
      </c>
      <c r="D218" s="12" t="s">
        <v>368</v>
      </c>
      <c r="E218" s="12">
        <v>0</v>
      </c>
      <c r="F218" s="12">
        <v>0</v>
      </c>
      <c r="G218" s="12">
        <v>55.1785</v>
      </c>
      <c r="H218" s="12">
        <v>44.8215</v>
      </c>
      <c r="I218" s="12" t="s">
        <v>401</v>
      </c>
      <c r="J218" s="12">
        <v>50.1372</v>
      </c>
      <c r="K218" s="12">
        <v>1</v>
      </c>
      <c r="L218" s="11">
        <f t="shared" si="14"/>
        <v>6839</v>
      </c>
      <c r="M218" s="57" t="s">
        <v>919</v>
      </c>
      <c r="N218" s="110">
        <v>3970</v>
      </c>
      <c r="O218" s="57">
        <v>4045</v>
      </c>
      <c r="P218" s="58">
        <v>40255.645833333336</v>
      </c>
      <c r="Q218" s="59">
        <v>36104196</v>
      </c>
      <c r="R218" s="4">
        <f t="shared" si="12"/>
        <v>39436170667.459335</v>
      </c>
      <c r="S218" s="4">
        <f t="shared" si="12"/>
        <v>32034004613.600025</v>
      </c>
      <c r="T218" s="4">
        <f t="shared" si="13"/>
        <v>40181186486.114105</v>
      </c>
      <c r="U218" s="4">
        <f t="shared" si="13"/>
        <v>32639181023.17685</v>
      </c>
      <c r="V218" s="4"/>
    </row>
    <row r="219" spans="1:22" ht="15.75">
      <c r="A219" s="52">
        <v>6849</v>
      </c>
      <c r="B219" s="12" t="s">
        <v>812</v>
      </c>
      <c r="C219" s="12" t="s">
        <v>398</v>
      </c>
      <c r="D219" s="12" t="s">
        <v>368</v>
      </c>
      <c r="E219" s="12">
        <v>0</v>
      </c>
      <c r="F219" s="12">
        <v>0</v>
      </c>
      <c r="G219" s="12">
        <v>60.4335</v>
      </c>
      <c r="H219" s="12">
        <v>39.5665</v>
      </c>
      <c r="I219" s="12" t="s">
        <v>401</v>
      </c>
      <c r="J219" s="12">
        <v>31.2121</v>
      </c>
      <c r="K219" s="12">
        <v>1</v>
      </c>
      <c r="L219" s="11">
        <f t="shared" si="14"/>
        <v>6849</v>
      </c>
      <c r="M219" s="57" t="s">
        <v>918</v>
      </c>
      <c r="N219" s="110">
        <v>1586</v>
      </c>
      <c r="O219" s="57">
        <v>1560</v>
      </c>
      <c r="P219" s="58">
        <v>40255.645833333336</v>
      </c>
      <c r="Q219" s="59">
        <v>45765490</v>
      </c>
      <c r="R219" s="4">
        <f t="shared" si="12"/>
        <v>30173875767.797688</v>
      </c>
      <c r="S219" s="4">
        <f t="shared" si="12"/>
        <v>19755179752.398376</v>
      </c>
      <c r="T219" s="4">
        <f t="shared" si="13"/>
        <v>29679222066.68625</v>
      </c>
      <c r="U219" s="4">
        <f t="shared" si="13"/>
        <v>19431324346.62135</v>
      </c>
      <c r="V219" s="4"/>
    </row>
    <row r="220" spans="1:22" ht="15.75">
      <c r="A220" s="52">
        <v>6856</v>
      </c>
      <c r="B220" s="12" t="s">
        <v>813</v>
      </c>
      <c r="C220" s="12" t="s">
        <v>398</v>
      </c>
      <c r="D220" s="12" t="s">
        <v>368</v>
      </c>
      <c r="E220" s="12">
        <v>0</v>
      </c>
      <c r="F220" s="12">
        <v>0</v>
      </c>
      <c r="G220" s="12">
        <v>64.8078</v>
      </c>
      <c r="H220" s="12">
        <v>35.1922</v>
      </c>
      <c r="I220" s="12" t="s">
        <v>401</v>
      </c>
      <c r="J220" s="12">
        <v>24.0701</v>
      </c>
      <c r="K220" s="12">
        <v>1</v>
      </c>
      <c r="L220" s="11">
        <f t="shared" si="14"/>
        <v>6856</v>
      </c>
      <c r="M220" s="57" t="s">
        <v>918</v>
      </c>
      <c r="N220" s="110">
        <v>2555</v>
      </c>
      <c r="O220" s="57">
        <v>2600</v>
      </c>
      <c r="P220" s="58">
        <v>40255.645833333336</v>
      </c>
      <c r="Q220" s="59">
        <v>42532752</v>
      </c>
      <c r="R220" s="4">
        <f t="shared" si="12"/>
        <v>53475455815.09055</v>
      </c>
      <c r="S220" s="4">
        <f t="shared" si="12"/>
        <v>29038463520.376087</v>
      </c>
      <c r="T220" s="4">
        <f t="shared" si="13"/>
        <v>54417293588.74185</v>
      </c>
      <c r="U220" s="4">
        <f t="shared" si="13"/>
        <v>29549904169.46295</v>
      </c>
      <c r="V220" s="4"/>
    </row>
    <row r="221" spans="1:22" ht="15.75">
      <c r="A221" s="52">
        <v>6875</v>
      </c>
      <c r="B221" s="12" t="s">
        <v>163</v>
      </c>
      <c r="C221" s="12" t="s">
        <v>398</v>
      </c>
      <c r="D221" s="12" t="s">
        <v>368</v>
      </c>
      <c r="E221" s="12">
        <v>0</v>
      </c>
      <c r="F221" s="12">
        <v>0</v>
      </c>
      <c r="G221" s="12">
        <v>0</v>
      </c>
      <c r="H221" s="12">
        <v>100</v>
      </c>
      <c r="I221" s="12" t="s">
        <v>401</v>
      </c>
      <c r="J221" s="12">
        <v>39.63</v>
      </c>
      <c r="K221" s="12">
        <v>1</v>
      </c>
      <c r="L221" s="11">
        <f t="shared" si="14"/>
        <v>6875</v>
      </c>
      <c r="M221" s="57" t="s">
        <v>918</v>
      </c>
      <c r="N221" s="110">
        <v>1284</v>
      </c>
      <c r="O221" s="57">
        <v>1296</v>
      </c>
      <c r="P221" s="58">
        <v>40255.645833333336</v>
      </c>
      <c r="Q221" s="59">
        <v>24353900</v>
      </c>
      <c r="R221" s="4">
        <f t="shared" si="12"/>
        <v>0</v>
      </c>
      <c r="S221" s="4">
        <f t="shared" si="12"/>
        <v>18877945068.12</v>
      </c>
      <c r="T221" s="4">
        <f t="shared" si="13"/>
        <v>0</v>
      </c>
      <c r="U221" s="4">
        <f t="shared" si="13"/>
        <v>19054374461.28</v>
      </c>
      <c r="V221" s="4"/>
    </row>
    <row r="222" spans="1:22" ht="15.75">
      <c r="A222" s="52">
        <v>6986</v>
      </c>
      <c r="B222" s="12" t="s">
        <v>837</v>
      </c>
      <c r="C222" s="12" t="s">
        <v>398</v>
      </c>
      <c r="D222" s="12" t="s">
        <v>368</v>
      </c>
      <c r="E222" s="12">
        <v>0</v>
      </c>
      <c r="F222" s="12">
        <v>0</v>
      </c>
      <c r="G222" s="12">
        <v>100</v>
      </c>
      <c r="H222" s="12">
        <v>0</v>
      </c>
      <c r="I222" s="12" t="s">
        <v>401</v>
      </c>
      <c r="J222" s="12">
        <v>45.9586</v>
      </c>
      <c r="K222" s="12">
        <v>1</v>
      </c>
      <c r="L222" s="11">
        <f t="shared" si="14"/>
        <v>6986</v>
      </c>
      <c r="M222" s="57" t="s">
        <v>918</v>
      </c>
      <c r="N222" s="110">
        <v>1706</v>
      </c>
      <c r="O222" s="57">
        <v>1720</v>
      </c>
      <c r="P222" s="58">
        <v>40255.645833333336</v>
      </c>
      <c r="Q222" s="59">
        <v>45886739</v>
      </c>
      <c r="R222" s="4">
        <f t="shared" si="12"/>
        <v>42305108505.92787</v>
      </c>
      <c r="S222" s="4">
        <f t="shared" si="12"/>
        <v>0</v>
      </c>
      <c r="T222" s="4">
        <f t="shared" si="13"/>
        <v>42652278212.30712</v>
      </c>
      <c r="U222" s="4">
        <f t="shared" si="13"/>
        <v>0</v>
      </c>
      <c r="V222" s="4"/>
    </row>
    <row r="223" spans="1:22" ht="15.75">
      <c r="A223" s="52">
        <v>6995</v>
      </c>
      <c r="B223" s="12" t="s">
        <v>840</v>
      </c>
      <c r="C223" s="12" t="s">
        <v>398</v>
      </c>
      <c r="D223" s="12" t="s">
        <v>677</v>
      </c>
      <c r="E223" s="12">
        <v>0</v>
      </c>
      <c r="F223" s="12">
        <v>0</v>
      </c>
      <c r="G223" s="12">
        <v>80.3475</v>
      </c>
      <c r="H223" s="12">
        <v>19.6525</v>
      </c>
      <c r="I223" s="12" t="s">
        <v>401</v>
      </c>
      <c r="J223" s="12">
        <v>52.6574</v>
      </c>
      <c r="K223" s="12">
        <v>1</v>
      </c>
      <c r="L223" s="11">
        <f t="shared" si="14"/>
        <v>6995</v>
      </c>
      <c r="M223" s="57" t="s">
        <v>918</v>
      </c>
      <c r="N223" s="110">
        <v>1817</v>
      </c>
      <c r="O223" s="57">
        <v>1827</v>
      </c>
      <c r="P223" s="58">
        <v>40255.645833333336</v>
      </c>
      <c r="Q223" s="59">
        <v>94234171</v>
      </c>
      <c r="R223" s="4">
        <f t="shared" si="12"/>
        <v>65131010330.17213</v>
      </c>
      <c r="S223" s="4">
        <f t="shared" si="12"/>
        <v>15930641034.42805</v>
      </c>
      <c r="T223" s="4">
        <f t="shared" si="13"/>
        <v>65489463881.79662</v>
      </c>
      <c r="U223" s="4">
        <f t="shared" si="13"/>
        <v>16018316549.202005</v>
      </c>
      <c r="V223" s="4"/>
    </row>
    <row r="224" spans="1:22" ht="15.75">
      <c r="A224" s="52">
        <v>6996</v>
      </c>
      <c r="B224" s="12" t="s">
        <v>841</v>
      </c>
      <c r="C224" s="12" t="s">
        <v>398</v>
      </c>
      <c r="D224" s="12" t="s">
        <v>368</v>
      </c>
      <c r="E224" s="12">
        <v>0</v>
      </c>
      <c r="F224" s="12">
        <v>0</v>
      </c>
      <c r="G224" s="12">
        <v>100</v>
      </c>
      <c r="H224" s="12">
        <v>0</v>
      </c>
      <c r="I224" s="12" t="s">
        <v>401</v>
      </c>
      <c r="J224" s="12">
        <v>33.8646</v>
      </c>
      <c r="K224" s="12">
        <v>1</v>
      </c>
      <c r="L224" s="11">
        <f t="shared" si="14"/>
        <v>6996</v>
      </c>
      <c r="M224" s="57" t="s">
        <v>918</v>
      </c>
      <c r="N224" s="110">
        <v>1060</v>
      </c>
      <c r="O224" s="57">
        <v>1072</v>
      </c>
      <c r="P224" s="58">
        <v>40255.645833333336</v>
      </c>
      <c r="Q224" s="59">
        <v>78000000</v>
      </c>
      <c r="R224" s="4">
        <f t="shared" si="12"/>
        <v>54680748720.000015</v>
      </c>
      <c r="S224" s="4">
        <f t="shared" si="12"/>
        <v>0</v>
      </c>
      <c r="T224" s="4">
        <f t="shared" si="13"/>
        <v>55299776064.00001</v>
      </c>
      <c r="U224" s="4">
        <f t="shared" si="13"/>
        <v>0</v>
      </c>
      <c r="V224" s="4"/>
    </row>
    <row r="225" spans="1:22" ht="15.75">
      <c r="A225" s="52">
        <v>6997</v>
      </c>
      <c r="B225" s="12" t="s">
        <v>164</v>
      </c>
      <c r="C225" s="12" t="s">
        <v>398</v>
      </c>
      <c r="D225" s="12" t="s">
        <v>368</v>
      </c>
      <c r="E225" s="12">
        <v>0</v>
      </c>
      <c r="F225" s="12">
        <v>0</v>
      </c>
      <c r="G225" s="12">
        <v>100</v>
      </c>
      <c r="H225" s="12">
        <v>0</v>
      </c>
      <c r="I225" s="12" t="s">
        <v>401</v>
      </c>
      <c r="J225" s="12">
        <v>28.3931</v>
      </c>
      <c r="K225" s="12">
        <v>1</v>
      </c>
      <c r="L225" s="11">
        <f t="shared" si="14"/>
        <v>6997</v>
      </c>
      <c r="M225" s="57" t="s">
        <v>918</v>
      </c>
      <c r="N225" s="110">
        <v>353</v>
      </c>
      <c r="O225" s="57">
        <v>347</v>
      </c>
      <c r="P225" s="58">
        <v>40255.645833333336</v>
      </c>
      <c r="Q225" s="59">
        <v>139159334</v>
      </c>
      <c r="R225" s="4">
        <f t="shared" si="12"/>
        <v>35175632853.73024</v>
      </c>
      <c r="S225" s="4">
        <f t="shared" si="12"/>
        <v>0</v>
      </c>
      <c r="T225" s="4">
        <f t="shared" si="13"/>
        <v>34577746742.901955</v>
      </c>
      <c r="U225" s="4">
        <f t="shared" si="13"/>
        <v>0</v>
      </c>
      <c r="V225" s="4"/>
    </row>
    <row r="226" spans="1:22" ht="15.75">
      <c r="A226" s="52">
        <v>7004</v>
      </c>
      <c r="B226" s="12" t="s">
        <v>842</v>
      </c>
      <c r="C226" s="12" t="s">
        <v>398</v>
      </c>
      <c r="D226" s="12" t="s">
        <v>367</v>
      </c>
      <c r="E226" s="12">
        <v>0</v>
      </c>
      <c r="F226" s="12">
        <v>0</v>
      </c>
      <c r="G226" s="12">
        <v>55.501</v>
      </c>
      <c r="H226" s="12">
        <v>44.499</v>
      </c>
      <c r="I226" s="12" t="s">
        <v>401</v>
      </c>
      <c r="J226" s="12">
        <v>10.7735</v>
      </c>
      <c r="K226" s="12">
        <v>1</v>
      </c>
      <c r="L226" s="11">
        <f t="shared" si="14"/>
        <v>7004</v>
      </c>
      <c r="M226" s="57" t="s">
        <v>918</v>
      </c>
      <c r="N226" s="110">
        <v>136</v>
      </c>
      <c r="O226" s="57">
        <v>137</v>
      </c>
      <c r="P226" s="58">
        <v>40255.645833333336</v>
      </c>
      <c r="Q226" s="59">
        <v>796073282</v>
      </c>
      <c r="R226" s="4">
        <f t="shared" si="12"/>
        <v>53615038538.54701</v>
      </c>
      <c r="S226" s="4">
        <f t="shared" si="12"/>
        <v>42986893928.52027</v>
      </c>
      <c r="T226" s="4">
        <f t="shared" si="13"/>
        <v>54009266763.09515</v>
      </c>
      <c r="U226" s="4">
        <f t="shared" si="13"/>
        <v>43302974030.93586</v>
      </c>
      <c r="V226" s="4"/>
    </row>
    <row r="227" spans="1:22" ht="15.75">
      <c r="A227" s="52">
        <v>7102</v>
      </c>
      <c r="B227" s="12" t="s">
        <v>165</v>
      </c>
      <c r="C227" s="12" t="s">
        <v>398</v>
      </c>
      <c r="D227" s="12" t="s">
        <v>677</v>
      </c>
      <c r="E227" s="12">
        <v>0</v>
      </c>
      <c r="F227" s="12">
        <v>0</v>
      </c>
      <c r="G227" s="12">
        <v>0</v>
      </c>
      <c r="H227" s="12">
        <v>100</v>
      </c>
      <c r="I227" s="12" t="s">
        <v>401</v>
      </c>
      <c r="J227" s="12">
        <v>62.5905</v>
      </c>
      <c r="K227" s="12">
        <v>1</v>
      </c>
      <c r="L227" s="11">
        <f t="shared" si="14"/>
        <v>7102</v>
      </c>
      <c r="M227" s="57" t="s">
        <v>918</v>
      </c>
      <c r="N227" s="110">
        <v>557</v>
      </c>
      <c r="O227" s="57">
        <v>540</v>
      </c>
      <c r="P227" s="58">
        <v>40255.645833333336</v>
      </c>
      <c r="Q227" s="59">
        <v>146750129</v>
      </c>
      <c r="R227" s="4">
        <f t="shared" si="12"/>
        <v>0</v>
      </c>
      <c r="S227" s="4">
        <f t="shared" si="12"/>
        <v>30578458656.098038</v>
      </c>
      <c r="T227" s="4">
        <f t="shared" si="13"/>
        <v>0</v>
      </c>
      <c r="U227" s="4">
        <f t="shared" si="13"/>
        <v>29645184334.457706</v>
      </c>
      <c r="V227" s="4"/>
    </row>
    <row r="228" spans="1:22" ht="15.75">
      <c r="A228" s="52">
        <v>7205</v>
      </c>
      <c r="B228" s="12" t="s">
        <v>843</v>
      </c>
      <c r="C228" s="12" t="s">
        <v>398</v>
      </c>
      <c r="D228" s="12" t="s">
        <v>677</v>
      </c>
      <c r="E228" s="12">
        <v>0</v>
      </c>
      <c r="F228" s="12">
        <v>0</v>
      </c>
      <c r="G228" s="12">
        <v>69.1156</v>
      </c>
      <c r="H228" s="12">
        <v>30.8844</v>
      </c>
      <c r="I228" s="12" t="s">
        <v>401</v>
      </c>
      <c r="J228" s="12">
        <v>60.7152</v>
      </c>
      <c r="K228" s="12">
        <v>1</v>
      </c>
      <c r="L228" s="11">
        <f t="shared" si="14"/>
        <v>7205</v>
      </c>
      <c r="M228" s="57" t="s">
        <v>918</v>
      </c>
      <c r="N228" s="110">
        <v>382</v>
      </c>
      <c r="O228" s="57">
        <v>388</v>
      </c>
      <c r="P228" s="58">
        <v>40255.645833333336</v>
      </c>
      <c r="Q228" s="59">
        <v>574580850</v>
      </c>
      <c r="R228" s="4">
        <f t="shared" si="12"/>
        <v>59595729378.52332</v>
      </c>
      <c r="S228" s="4">
        <f t="shared" si="12"/>
        <v>26630432846.10227</v>
      </c>
      <c r="T228" s="4">
        <f t="shared" si="13"/>
        <v>60531787955.14934</v>
      </c>
      <c r="U228" s="4">
        <f t="shared" si="13"/>
        <v>27048711896.041046</v>
      </c>
      <c r="V228" s="4"/>
    </row>
    <row r="229" spans="1:22" ht="15.75">
      <c r="A229" s="52">
        <v>7220</v>
      </c>
      <c r="B229" s="12" t="s">
        <v>166</v>
      </c>
      <c r="C229" s="12" t="s">
        <v>398</v>
      </c>
      <c r="D229" s="12" t="s">
        <v>677</v>
      </c>
      <c r="E229" s="12">
        <v>0</v>
      </c>
      <c r="F229" s="12">
        <v>0</v>
      </c>
      <c r="G229" s="12">
        <v>0</v>
      </c>
      <c r="H229" s="12">
        <v>100</v>
      </c>
      <c r="I229" s="12" t="s">
        <v>401</v>
      </c>
      <c r="J229" s="12">
        <v>38.7599</v>
      </c>
      <c r="K229" s="12">
        <v>1</v>
      </c>
      <c r="L229" s="11">
        <f t="shared" si="14"/>
        <v>7220</v>
      </c>
      <c r="M229" s="57" t="s">
        <v>918</v>
      </c>
      <c r="N229" s="110">
        <v>1953</v>
      </c>
      <c r="O229" s="57">
        <v>1913</v>
      </c>
      <c r="P229" s="58">
        <v>40255.645833333336</v>
      </c>
      <c r="Q229" s="59">
        <v>31200000</v>
      </c>
      <c r="R229" s="4">
        <f t="shared" si="12"/>
        <v>0</v>
      </c>
      <c r="S229" s="4">
        <f t="shared" si="12"/>
        <v>37315797573.600006</v>
      </c>
      <c r="T229" s="4">
        <f t="shared" si="13"/>
        <v>0</v>
      </c>
      <c r="U229" s="4">
        <f t="shared" si="13"/>
        <v>36551521125.6</v>
      </c>
      <c r="V229" s="4"/>
    </row>
    <row r="230" spans="1:22" ht="15.75">
      <c r="A230" s="52">
        <v>7221</v>
      </c>
      <c r="B230" s="12" t="s">
        <v>1169</v>
      </c>
      <c r="C230" s="12" t="s">
        <v>398</v>
      </c>
      <c r="D230" s="12" t="s">
        <v>677</v>
      </c>
      <c r="E230" s="12">
        <v>0</v>
      </c>
      <c r="F230" s="12">
        <v>0</v>
      </c>
      <c r="G230" s="12">
        <v>100</v>
      </c>
      <c r="H230" s="12">
        <v>0</v>
      </c>
      <c r="I230" s="12" t="s">
        <v>401</v>
      </c>
      <c r="J230" s="12">
        <v>80.5639</v>
      </c>
      <c r="K230" s="12">
        <v>1</v>
      </c>
      <c r="L230" s="11">
        <f t="shared" si="14"/>
        <v>7221</v>
      </c>
      <c r="M230" s="57" t="s">
        <v>918</v>
      </c>
      <c r="N230" s="110">
        <v>1532</v>
      </c>
      <c r="O230" s="57">
        <v>1568</v>
      </c>
      <c r="P230" s="58">
        <v>40255.645833333336</v>
      </c>
      <c r="Q230" s="59">
        <v>117046786</v>
      </c>
      <c r="R230" s="4">
        <f t="shared" si="12"/>
        <v>34851974132.578865</v>
      </c>
      <c r="S230" s="4">
        <f t="shared" si="12"/>
        <v>0</v>
      </c>
      <c r="T230" s="4">
        <f t="shared" si="13"/>
        <v>35670950026.03372</v>
      </c>
      <c r="U230" s="4">
        <f t="shared" si="13"/>
        <v>0</v>
      </c>
      <c r="V230" s="4"/>
    </row>
    <row r="231" spans="1:22" ht="15.75">
      <c r="A231" s="52">
        <v>7222</v>
      </c>
      <c r="B231" s="12" t="s">
        <v>844</v>
      </c>
      <c r="C231" s="12" t="s">
        <v>398</v>
      </c>
      <c r="D231" s="12" t="s">
        <v>677</v>
      </c>
      <c r="E231" s="12">
        <v>0</v>
      </c>
      <c r="F231" s="12">
        <v>0</v>
      </c>
      <c r="G231" s="12">
        <v>100</v>
      </c>
      <c r="H231" s="12">
        <v>0</v>
      </c>
      <c r="I231" s="12" t="s">
        <v>401</v>
      </c>
      <c r="J231" s="12">
        <v>57.7074</v>
      </c>
      <c r="K231" s="12">
        <v>1</v>
      </c>
      <c r="L231" s="11">
        <f t="shared" si="14"/>
        <v>7222</v>
      </c>
      <c r="M231" s="57" t="s">
        <v>918</v>
      </c>
      <c r="N231" s="110">
        <v>711</v>
      </c>
      <c r="O231" s="57">
        <v>721</v>
      </c>
      <c r="P231" s="58">
        <v>40255.645833333336</v>
      </c>
      <c r="Q231" s="59">
        <v>157239691</v>
      </c>
      <c r="R231" s="4">
        <f t="shared" si="12"/>
        <v>47282035778.22073</v>
      </c>
      <c r="S231" s="4">
        <f t="shared" si="12"/>
        <v>0</v>
      </c>
      <c r="T231" s="4">
        <f t="shared" si="13"/>
        <v>47947043313.77939</v>
      </c>
      <c r="U231" s="4">
        <f t="shared" si="13"/>
        <v>0</v>
      </c>
      <c r="V231" s="4"/>
    </row>
    <row r="232" spans="1:22" ht="15.75">
      <c r="A232" s="52">
        <v>7224</v>
      </c>
      <c r="B232" s="12" t="s">
        <v>167</v>
      </c>
      <c r="C232" s="12" t="s">
        <v>398</v>
      </c>
      <c r="D232" s="12" t="s">
        <v>677</v>
      </c>
      <c r="E232" s="12">
        <v>0</v>
      </c>
      <c r="F232" s="12">
        <v>0</v>
      </c>
      <c r="G232" s="12">
        <v>100</v>
      </c>
      <c r="H232" s="12">
        <v>0</v>
      </c>
      <c r="I232" s="12" t="s">
        <v>401</v>
      </c>
      <c r="J232" s="12">
        <v>33.5641</v>
      </c>
      <c r="K232" s="12">
        <v>1</v>
      </c>
      <c r="L232" s="11">
        <f t="shared" si="14"/>
        <v>7224</v>
      </c>
      <c r="M232" s="57" t="s">
        <v>918</v>
      </c>
      <c r="N232" s="110">
        <v>317</v>
      </c>
      <c r="O232" s="57">
        <v>324</v>
      </c>
      <c r="P232" s="58">
        <v>40255.645833333336</v>
      </c>
      <c r="Q232" s="59">
        <v>119727565</v>
      </c>
      <c r="R232" s="4">
        <f t="shared" si="12"/>
        <v>25214841057.799698</v>
      </c>
      <c r="S232" s="4">
        <f t="shared" si="12"/>
        <v>0</v>
      </c>
      <c r="T232" s="4">
        <f t="shared" si="13"/>
        <v>25771635655.29054</v>
      </c>
      <c r="U232" s="4">
        <f t="shared" si="13"/>
        <v>0</v>
      </c>
      <c r="V232" s="4"/>
    </row>
    <row r="233" spans="1:22" ht="15.75">
      <c r="A233" s="52">
        <v>7230</v>
      </c>
      <c r="B233" s="12" t="s">
        <v>845</v>
      </c>
      <c r="C233" s="12" t="s">
        <v>398</v>
      </c>
      <c r="D233" s="12" t="s">
        <v>677</v>
      </c>
      <c r="E233" s="12">
        <v>0</v>
      </c>
      <c r="F233" s="12">
        <v>0</v>
      </c>
      <c r="G233" s="12">
        <v>87.4721</v>
      </c>
      <c r="H233" s="12">
        <v>12.5279</v>
      </c>
      <c r="I233" s="12" t="s">
        <v>401</v>
      </c>
      <c r="J233" s="12">
        <v>47.781</v>
      </c>
      <c r="K233" s="12">
        <v>1</v>
      </c>
      <c r="L233" s="11">
        <f t="shared" si="14"/>
        <v>7230</v>
      </c>
      <c r="M233" s="57" t="s">
        <v>918</v>
      </c>
      <c r="N233" s="110">
        <v>1475</v>
      </c>
      <c r="O233" s="57">
        <v>1481</v>
      </c>
      <c r="P233" s="58">
        <v>40255.645833333336</v>
      </c>
      <c r="Q233" s="59">
        <v>65452143</v>
      </c>
      <c r="R233" s="4">
        <f t="shared" si="12"/>
        <v>44097502619.17504</v>
      </c>
      <c r="S233" s="4">
        <f t="shared" si="12"/>
        <v>6315717846.750712</v>
      </c>
      <c r="T233" s="4">
        <f t="shared" si="13"/>
        <v>44276882290.84625</v>
      </c>
      <c r="U233" s="4">
        <f t="shared" si="13"/>
        <v>6341408902.398512</v>
      </c>
      <c r="V233" s="4"/>
    </row>
    <row r="234" spans="1:22" ht="15.75">
      <c r="A234" s="52">
        <v>7238</v>
      </c>
      <c r="B234" s="12" t="s">
        <v>168</v>
      </c>
      <c r="C234" s="12" t="s">
        <v>398</v>
      </c>
      <c r="D234" s="12" t="s">
        <v>677</v>
      </c>
      <c r="E234" s="12">
        <v>0</v>
      </c>
      <c r="F234" s="12">
        <v>0</v>
      </c>
      <c r="G234" s="12">
        <v>0</v>
      </c>
      <c r="H234" s="12">
        <v>100</v>
      </c>
      <c r="I234" s="12" t="s">
        <v>401</v>
      </c>
      <c r="J234" s="12">
        <v>63.0345</v>
      </c>
      <c r="K234" s="12">
        <v>1</v>
      </c>
      <c r="L234" s="11">
        <f t="shared" si="14"/>
        <v>7238</v>
      </c>
      <c r="M234" s="57" t="s">
        <v>918</v>
      </c>
      <c r="N234" s="110">
        <v>513</v>
      </c>
      <c r="O234" s="57">
        <v>518</v>
      </c>
      <c r="P234" s="58">
        <v>40255.645833333336</v>
      </c>
      <c r="Q234" s="59">
        <v>135992343</v>
      </c>
      <c r="R234" s="4">
        <f t="shared" si="12"/>
        <v>0</v>
      </c>
      <c r="S234" s="4">
        <f t="shared" si="12"/>
        <v>25788638020.004143</v>
      </c>
      <c r="T234" s="4">
        <f t="shared" si="13"/>
        <v>0</v>
      </c>
      <c r="U234" s="4">
        <f t="shared" si="13"/>
        <v>26039989267.76247</v>
      </c>
      <c r="V234" s="4"/>
    </row>
    <row r="235" spans="1:22" ht="15.75">
      <c r="A235" s="52">
        <v>7242</v>
      </c>
      <c r="B235" s="12" t="s">
        <v>169</v>
      </c>
      <c r="C235" s="12" t="s">
        <v>398</v>
      </c>
      <c r="D235" s="12" t="s">
        <v>677</v>
      </c>
      <c r="E235" s="12">
        <v>0</v>
      </c>
      <c r="F235" s="12">
        <v>0</v>
      </c>
      <c r="G235" s="12">
        <v>100</v>
      </c>
      <c r="H235" s="12">
        <v>0</v>
      </c>
      <c r="I235" s="12" t="s">
        <v>401</v>
      </c>
      <c r="J235" s="12">
        <v>44.2462</v>
      </c>
      <c r="K235" s="12">
        <v>1</v>
      </c>
      <c r="L235" s="11">
        <f t="shared" si="14"/>
        <v>7242</v>
      </c>
      <c r="M235" s="57" t="s">
        <v>918</v>
      </c>
      <c r="N235" s="110">
        <v>338</v>
      </c>
      <c r="O235" s="57">
        <v>343</v>
      </c>
      <c r="P235" s="58">
        <v>40255.645833333336</v>
      </c>
      <c r="Q235" s="59">
        <v>222984315</v>
      </c>
      <c r="R235" s="4">
        <f t="shared" si="12"/>
        <v>42020913407.56686</v>
      </c>
      <c r="S235" s="4">
        <f t="shared" si="12"/>
        <v>0</v>
      </c>
      <c r="T235" s="4">
        <f t="shared" si="13"/>
        <v>42642524552.649216</v>
      </c>
      <c r="U235" s="4">
        <f t="shared" si="13"/>
        <v>0</v>
      </c>
      <c r="V235" s="4"/>
    </row>
    <row r="236" spans="1:22" ht="15.75">
      <c r="A236" s="52">
        <v>7248</v>
      </c>
      <c r="B236" s="12" t="s">
        <v>170</v>
      </c>
      <c r="C236" s="12" t="s">
        <v>398</v>
      </c>
      <c r="D236" s="12" t="s">
        <v>677</v>
      </c>
      <c r="E236" s="12">
        <v>0</v>
      </c>
      <c r="F236" s="12">
        <v>0</v>
      </c>
      <c r="G236" s="12">
        <v>100</v>
      </c>
      <c r="H236" s="12">
        <v>0</v>
      </c>
      <c r="I236" s="12" t="s">
        <v>401</v>
      </c>
      <c r="J236" s="12">
        <v>58.3064</v>
      </c>
      <c r="K236" s="12">
        <v>1</v>
      </c>
      <c r="L236" s="11">
        <f t="shared" si="14"/>
        <v>7248</v>
      </c>
      <c r="M236" s="57" t="s">
        <v>918</v>
      </c>
      <c r="N236" s="110">
        <v>247</v>
      </c>
      <c r="O236" s="57">
        <v>255</v>
      </c>
      <c r="P236" s="58">
        <v>40255.645833333336</v>
      </c>
      <c r="Q236" s="59">
        <v>273241631</v>
      </c>
      <c r="R236" s="4">
        <f t="shared" si="12"/>
        <v>28139295347.666157</v>
      </c>
      <c r="S236" s="4">
        <f t="shared" si="12"/>
        <v>0</v>
      </c>
      <c r="T236" s="4">
        <f t="shared" si="13"/>
        <v>29050689528.967083</v>
      </c>
      <c r="U236" s="4">
        <f t="shared" si="13"/>
        <v>0</v>
      </c>
      <c r="V236" s="4"/>
    </row>
    <row r="237" spans="1:22" ht="15.75">
      <c r="A237" s="52">
        <v>7251</v>
      </c>
      <c r="B237" s="12" t="s">
        <v>849</v>
      </c>
      <c r="C237" s="12" t="s">
        <v>398</v>
      </c>
      <c r="D237" s="12" t="s">
        <v>677</v>
      </c>
      <c r="E237" s="12">
        <v>0</v>
      </c>
      <c r="F237" s="12">
        <v>0</v>
      </c>
      <c r="G237" s="12">
        <v>100</v>
      </c>
      <c r="H237" s="12">
        <v>0</v>
      </c>
      <c r="I237" s="12" t="s">
        <v>401</v>
      </c>
      <c r="J237" s="12">
        <v>49.0418</v>
      </c>
      <c r="K237" s="12">
        <v>1</v>
      </c>
      <c r="L237" s="11">
        <f t="shared" si="14"/>
        <v>7251</v>
      </c>
      <c r="M237" s="57" t="s">
        <v>918</v>
      </c>
      <c r="N237" s="110">
        <v>1686</v>
      </c>
      <c r="O237" s="57">
        <v>1696</v>
      </c>
      <c r="P237" s="58">
        <v>40255.645833333336</v>
      </c>
      <c r="Q237" s="59">
        <v>73985246</v>
      </c>
      <c r="R237" s="4">
        <f t="shared" si="12"/>
        <v>63564812671.41199</v>
      </c>
      <c r="S237" s="4">
        <f t="shared" si="12"/>
        <v>0</v>
      </c>
      <c r="T237" s="4">
        <f t="shared" si="13"/>
        <v>63941828167.6837</v>
      </c>
      <c r="U237" s="4">
        <f t="shared" si="13"/>
        <v>0</v>
      </c>
      <c r="V237" s="4"/>
    </row>
    <row r="238" spans="1:22" ht="15.75">
      <c r="A238" s="52">
        <v>7278</v>
      </c>
      <c r="B238" s="12" t="s">
        <v>171</v>
      </c>
      <c r="C238" s="12" t="s">
        <v>398</v>
      </c>
      <c r="D238" s="12" t="s">
        <v>677</v>
      </c>
      <c r="E238" s="12">
        <v>0</v>
      </c>
      <c r="F238" s="12">
        <v>0</v>
      </c>
      <c r="G238" s="12">
        <v>100</v>
      </c>
      <c r="H238" s="12">
        <v>0</v>
      </c>
      <c r="I238" s="12" t="s">
        <v>401</v>
      </c>
      <c r="J238" s="12">
        <v>67.242</v>
      </c>
      <c r="K238" s="12">
        <v>1</v>
      </c>
      <c r="L238" s="11">
        <f t="shared" si="14"/>
        <v>7278</v>
      </c>
      <c r="M238" s="57" t="s">
        <v>918</v>
      </c>
      <c r="N238" s="110">
        <v>2171</v>
      </c>
      <c r="O238" s="57">
        <v>2176</v>
      </c>
      <c r="P238" s="58">
        <v>40255.645833333336</v>
      </c>
      <c r="Q238" s="59">
        <v>48593736</v>
      </c>
      <c r="R238" s="4">
        <f t="shared" si="12"/>
        <v>34558707540.40848</v>
      </c>
      <c r="S238" s="4">
        <f t="shared" si="12"/>
        <v>0</v>
      </c>
      <c r="T238" s="4">
        <f t="shared" si="13"/>
        <v>34638299220.60288</v>
      </c>
      <c r="U238" s="4">
        <f t="shared" si="13"/>
        <v>0</v>
      </c>
      <c r="V238" s="4"/>
    </row>
    <row r="239" spans="1:22" ht="15.75">
      <c r="A239" s="52">
        <v>7287</v>
      </c>
      <c r="B239" s="12" t="s">
        <v>172</v>
      </c>
      <c r="C239" s="12" t="s">
        <v>404</v>
      </c>
      <c r="D239" s="12" t="s">
        <v>677</v>
      </c>
      <c r="E239" s="12">
        <v>0</v>
      </c>
      <c r="F239" s="12">
        <v>0</v>
      </c>
      <c r="G239" s="12">
        <v>100</v>
      </c>
      <c r="H239" s="12">
        <v>0</v>
      </c>
      <c r="I239" s="12" t="s">
        <v>401</v>
      </c>
      <c r="J239" s="12">
        <v>48.3357</v>
      </c>
      <c r="K239" s="12">
        <v>1</v>
      </c>
      <c r="L239" s="11">
        <f t="shared" si="14"/>
        <v>7287</v>
      </c>
      <c r="M239" s="57" t="s">
        <v>924</v>
      </c>
      <c r="N239" s="110">
        <v>1004</v>
      </c>
      <c r="O239" s="57">
        <v>989</v>
      </c>
      <c r="P239" s="58">
        <v>40255.645833333336</v>
      </c>
      <c r="Q239" s="59">
        <v>60907599</v>
      </c>
      <c r="R239" s="4">
        <f t="shared" si="12"/>
        <v>31593354608.837624</v>
      </c>
      <c r="S239" s="4">
        <f t="shared" si="12"/>
        <v>0</v>
      </c>
      <c r="T239" s="4">
        <f t="shared" si="13"/>
        <v>31121342338.785267</v>
      </c>
      <c r="U239" s="4">
        <f t="shared" si="13"/>
        <v>0</v>
      </c>
      <c r="V239" s="4"/>
    </row>
    <row r="240" spans="1:22" ht="15.75">
      <c r="A240" s="52">
        <v>7296</v>
      </c>
      <c r="B240" s="12" t="s">
        <v>850</v>
      </c>
      <c r="C240" s="12" t="s">
        <v>398</v>
      </c>
      <c r="D240" s="12" t="s">
        <v>677</v>
      </c>
      <c r="E240" s="12">
        <v>0</v>
      </c>
      <c r="F240" s="12">
        <v>0</v>
      </c>
      <c r="G240" s="12">
        <v>64.0772</v>
      </c>
      <c r="H240" s="12">
        <v>35.9228</v>
      </c>
      <c r="I240" s="12" t="s">
        <v>401</v>
      </c>
      <c r="J240" s="12">
        <v>40.7509</v>
      </c>
      <c r="K240" s="12">
        <v>1</v>
      </c>
      <c r="L240" s="11">
        <f t="shared" si="14"/>
        <v>7296</v>
      </c>
      <c r="M240" s="57" t="s">
        <v>918</v>
      </c>
      <c r="N240" s="110">
        <v>1781</v>
      </c>
      <c r="O240" s="57">
        <v>1821</v>
      </c>
      <c r="P240" s="58">
        <v>40255.645833333336</v>
      </c>
      <c r="Q240" s="59">
        <v>52644030</v>
      </c>
      <c r="R240" s="4">
        <f t="shared" si="12"/>
        <v>35595765018.24061</v>
      </c>
      <c r="S240" s="4">
        <f t="shared" si="12"/>
        <v>19955608977.877525</v>
      </c>
      <c r="T240" s="4">
        <f t="shared" si="13"/>
        <v>36395220717.695755</v>
      </c>
      <c r="U240" s="4">
        <f t="shared" si="13"/>
        <v>20403797837.571575</v>
      </c>
      <c r="V240" s="4"/>
    </row>
    <row r="241" spans="1:22" ht="15.75">
      <c r="A241" s="52">
        <v>7312</v>
      </c>
      <c r="B241" s="12" t="s">
        <v>851</v>
      </c>
      <c r="C241" s="12" t="s">
        <v>398</v>
      </c>
      <c r="D241" s="12" t="s">
        <v>677</v>
      </c>
      <c r="E241" s="12">
        <v>0</v>
      </c>
      <c r="F241" s="12">
        <v>0</v>
      </c>
      <c r="G241" s="12">
        <v>100</v>
      </c>
      <c r="H241" s="12">
        <v>0</v>
      </c>
      <c r="I241" s="12" t="s">
        <v>401</v>
      </c>
      <c r="J241" s="12">
        <v>62.5215</v>
      </c>
      <c r="K241" s="12">
        <v>1</v>
      </c>
      <c r="L241" s="11">
        <f t="shared" si="14"/>
        <v>7312</v>
      </c>
      <c r="M241" s="57" t="s">
        <v>918</v>
      </c>
      <c r="N241" s="110">
        <v>2277</v>
      </c>
      <c r="O241" s="57">
        <v>2307</v>
      </c>
      <c r="P241" s="58">
        <v>40255.645833333336</v>
      </c>
      <c r="Q241" s="59">
        <v>81928400</v>
      </c>
      <c r="R241" s="4">
        <f t="shared" si="12"/>
        <v>69916504092.138</v>
      </c>
      <c r="S241" s="4">
        <f t="shared" si="12"/>
        <v>0</v>
      </c>
      <c r="T241" s="4">
        <f t="shared" si="13"/>
        <v>70837670153.958</v>
      </c>
      <c r="U241" s="4">
        <f t="shared" si="13"/>
        <v>0</v>
      </c>
      <c r="V241" s="4"/>
    </row>
    <row r="242" spans="1:22" ht="15.75">
      <c r="A242" s="52">
        <v>7313</v>
      </c>
      <c r="B242" s="12" t="s">
        <v>173</v>
      </c>
      <c r="C242" s="12" t="s">
        <v>398</v>
      </c>
      <c r="D242" s="12" t="s">
        <v>677</v>
      </c>
      <c r="E242" s="12">
        <v>0</v>
      </c>
      <c r="F242" s="12">
        <v>0</v>
      </c>
      <c r="G242" s="12">
        <v>9.9939</v>
      </c>
      <c r="H242" s="12">
        <v>90.0061</v>
      </c>
      <c r="I242" s="12" t="s">
        <v>401</v>
      </c>
      <c r="J242" s="12">
        <v>45.8581</v>
      </c>
      <c r="K242" s="12">
        <v>1</v>
      </c>
      <c r="L242" s="11">
        <f t="shared" si="14"/>
        <v>7313</v>
      </c>
      <c r="M242" s="57" t="s">
        <v>918</v>
      </c>
      <c r="N242" s="110">
        <v>1655</v>
      </c>
      <c r="O242" s="57">
        <v>1657</v>
      </c>
      <c r="P242" s="58">
        <v>40255.645833333336</v>
      </c>
      <c r="Q242" s="59">
        <v>68000000</v>
      </c>
      <c r="R242" s="4">
        <f t="shared" si="12"/>
        <v>6089412617.05014</v>
      </c>
      <c r="S242" s="4">
        <f t="shared" si="12"/>
        <v>54841881642.94986</v>
      </c>
      <c r="T242" s="4">
        <f t="shared" si="13"/>
        <v>6096771423.838117</v>
      </c>
      <c r="U242" s="4">
        <f t="shared" si="13"/>
        <v>54908155820.16189</v>
      </c>
      <c r="V242" s="4"/>
    </row>
    <row r="243" spans="1:22" ht="15.75">
      <c r="A243" s="52">
        <v>7458</v>
      </c>
      <c r="B243" s="12" t="s">
        <v>1170</v>
      </c>
      <c r="C243" s="12" t="s">
        <v>418</v>
      </c>
      <c r="D243" s="12" t="s">
        <v>664</v>
      </c>
      <c r="E243" s="12">
        <v>0</v>
      </c>
      <c r="F243" s="12">
        <v>0</v>
      </c>
      <c r="G243" s="12">
        <v>100</v>
      </c>
      <c r="H243" s="12">
        <v>0</v>
      </c>
      <c r="I243" s="12" t="s">
        <v>401</v>
      </c>
      <c r="J243" s="12">
        <v>39.3408</v>
      </c>
      <c r="K243" s="12">
        <v>1</v>
      </c>
      <c r="L243" s="11">
        <f t="shared" si="14"/>
        <v>7458</v>
      </c>
      <c r="M243" s="57" t="s">
        <v>923</v>
      </c>
      <c r="N243" s="110">
        <v>1172</v>
      </c>
      <c r="O243" s="57">
        <v>1193</v>
      </c>
      <c r="P243" s="58">
        <v>40255.645833333336</v>
      </c>
      <c r="Q243" s="59">
        <v>66670596</v>
      </c>
      <c r="R243" s="4">
        <f t="shared" si="12"/>
        <v>47397848397.87111</v>
      </c>
      <c r="S243" s="4">
        <f t="shared" si="12"/>
        <v>0</v>
      </c>
      <c r="T243" s="4">
        <f t="shared" si="13"/>
        <v>48247127251.41658</v>
      </c>
      <c r="U243" s="4">
        <f t="shared" si="13"/>
        <v>0</v>
      </c>
      <c r="V243" s="4"/>
    </row>
    <row r="244" spans="1:22" ht="15.75">
      <c r="A244" s="52">
        <v>7517</v>
      </c>
      <c r="B244" s="12" t="s">
        <v>174</v>
      </c>
      <c r="C244" s="12" t="s">
        <v>398</v>
      </c>
      <c r="D244" s="12" t="s">
        <v>664</v>
      </c>
      <c r="E244" s="12">
        <v>0</v>
      </c>
      <c r="F244" s="12">
        <v>0</v>
      </c>
      <c r="G244" s="12">
        <v>100</v>
      </c>
      <c r="H244" s="12">
        <v>0</v>
      </c>
      <c r="I244" s="12" t="s">
        <v>401</v>
      </c>
      <c r="J244" s="12">
        <v>31.3068</v>
      </c>
      <c r="K244" s="12">
        <v>1</v>
      </c>
      <c r="L244" s="11">
        <f t="shared" si="14"/>
        <v>7517</v>
      </c>
      <c r="M244" s="57" t="s">
        <v>918</v>
      </c>
      <c r="N244" s="110">
        <v>1182</v>
      </c>
      <c r="O244" s="57">
        <v>1191</v>
      </c>
      <c r="P244" s="58">
        <v>40255.645833333336</v>
      </c>
      <c r="Q244" s="59">
        <v>32663240</v>
      </c>
      <c r="R244" s="4">
        <f t="shared" si="12"/>
        <v>26521036089.581764</v>
      </c>
      <c r="S244" s="4">
        <f t="shared" si="12"/>
        <v>0</v>
      </c>
      <c r="T244" s="4">
        <f t="shared" si="13"/>
        <v>26722972912.598885</v>
      </c>
      <c r="U244" s="4">
        <f t="shared" si="13"/>
        <v>0</v>
      </c>
      <c r="V244" s="4"/>
    </row>
    <row r="245" spans="1:22" ht="15.75">
      <c r="A245" s="52">
        <v>7518</v>
      </c>
      <c r="B245" s="12" t="s">
        <v>858</v>
      </c>
      <c r="C245" s="12" t="s">
        <v>398</v>
      </c>
      <c r="D245" s="12" t="s">
        <v>422</v>
      </c>
      <c r="E245" s="12">
        <v>0</v>
      </c>
      <c r="F245" s="12">
        <v>0</v>
      </c>
      <c r="G245" s="12">
        <v>27.0355</v>
      </c>
      <c r="H245" s="12">
        <v>72.9645</v>
      </c>
      <c r="I245" s="12" t="s">
        <v>401</v>
      </c>
      <c r="J245" s="12">
        <v>30.8971</v>
      </c>
      <c r="K245" s="12">
        <v>1</v>
      </c>
      <c r="L245" s="11">
        <f t="shared" si="14"/>
        <v>7518</v>
      </c>
      <c r="M245" s="57" t="s">
        <v>918</v>
      </c>
      <c r="N245" s="110">
        <v>107200</v>
      </c>
      <c r="O245" s="57">
        <v>107800</v>
      </c>
      <c r="P245" s="58">
        <v>40255.645833333336</v>
      </c>
      <c r="Q245" s="59">
        <v>551900</v>
      </c>
      <c r="R245" s="4">
        <f t="shared" si="12"/>
        <v>11053144784.826885</v>
      </c>
      <c r="S245" s="4">
        <f t="shared" si="12"/>
        <v>29830673841.893112</v>
      </c>
      <c r="T245" s="4">
        <f t="shared" si="13"/>
        <v>11115009401.159872</v>
      </c>
      <c r="U245" s="4">
        <f t="shared" si="13"/>
        <v>29997636568.620125</v>
      </c>
      <c r="V245" s="4"/>
    </row>
    <row r="246" spans="1:22" ht="15.75">
      <c r="A246" s="52">
        <v>7522</v>
      </c>
      <c r="B246" s="12" t="s">
        <v>1171</v>
      </c>
      <c r="C246" s="12" t="s">
        <v>398</v>
      </c>
      <c r="D246" s="12" t="s">
        <v>370</v>
      </c>
      <c r="E246" s="12">
        <v>0</v>
      </c>
      <c r="F246" s="12">
        <v>0</v>
      </c>
      <c r="G246" s="12">
        <v>0</v>
      </c>
      <c r="H246" s="12">
        <v>100</v>
      </c>
      <c r="I246" s="12" t="s">
        <v>401</v>
      </c>
      <c r="J246" s="12">
        <v>60.2809</v>
      </c>
      <c r="K246" s="12">
        <v>1</v>
      </c>
      <c r="L246" s="11">
        <f t="shared" si="14"/>
        <v>7522</v>
      </c>
      <c r="M246" s="57" t="s">
        <v>918</v>
      </c>
      <c r="N246" s="110">
        <v>1717</v>
      </c>
      <c r="O246" s="57">
        <v>1710</v>
      </c>
      <c r="P246" s="58">
        <v>40255.645833333336</v>
      </c>
      <c r="Q246" s="59">
        <v>41686780</v>
      </c>
      <c r="R246" s="4">
        <f t="shared" si="12"/>
        <v>0</v>
      </c>
      <c r="S246" s="4">
        <f t="shared" si="12"/>
        <v>28429422954.660656</v>
      </c>
      <c r="T246" s="4">
        <f t="shared" si="13"/>
        <v>0</v>
      </c>
      <c r="U246" s="4">
        <f t="shared" si="13"/>
        <v>28313519657.8158</v>
      </c>
      <c r="V246" s="4"/>
    </row>
    <row r="247" spans="1:22" ht="15.75">
      <c r="A247" s="52">
        <v>7541</v>
      </c>
      <c r="B247" s="12" t="s">
        <v>175</v>
      </c>
      <c r="C247" s="12" t="s">
        <v>398</v>
      </c>
      <c r="D247" s="12" t="s">
        <v>370</v>
      </c>
      <c r="E247" s="12">
        <v>0</v>
      </c>
      <c r="F247" s="12">
        <v>0</v>
      </c>
      <c r="G247" s="12">
        <v>0</v>
      </c>
      <c r="H247" s="12">
        <v>100</v>
      </c>
      <c r="I247" s="12" t="s">
        <v>401</v>
      </c>
      <c r="J247" s="12">
        <v>47.0376</v>
      </c>
      <c r="K247" s="12">
        <v>1</v>
      </c>
      <c r="L247" s="11">
        <f t="shared" si="14"/>
        <v>7541</v>
      </c>
      <c r="M247" s="57" t="s">
        <v>918</v>
      </c>
      <c r="N247" s="110">
        <v>633</v>
      </c>
      <c r="O247" s="57">
        <v>637</v>
      </c>
      <c r="P247" s="58">
        <v>40255.645833333336</v>
      </c>
      <c r="Q247" s="59">
        <v>30328318</v>
      </c>
      <c r="R247" s="4">
        <f t="shared" si="12"/>
        <v>0</v>
      </c>
      <c r="S247" s="4">
        <f t="shared" si="12"/>
        <v>10167629023.509457</v>
      </c>
      <c r="T247" s="4">
        <f t="shared" si="13"/>
        <v>0</v>
      </c>
      <c r="U247" s="4">
        <f t="shared" si="13"/>
        <v>10231879443.879185</v>
      </c>
      <c r="V247" s="4"/>
    </row>
    <row r="248" spans="1:22" ht="15.75">
      <c r="A248" s="52">
        <v>7545</v>
      </c>
      <c r="B248" s="12" t="s">
        <v>1172</v>
      </c>
      <c r="C248" s="12" t="s">
        <v>398</v>
      </c>
      <c r="D248" s="12" t="s">
        <v>370</v>
      </c>
      <c r="E248" s="12">
        <v>0</v>
      </c>
      <c r="F248" s="12">
        <v>0</v>
      </c>
      <c r="G248" s="12">
        <v>0</v>
      </c>
      <c r="H248" s="12">
        <v>100</v>
      </c>
      <c r="I248" s="12" t="s">
        <v>401</v>
      </c>
      <c r="J248" s="12">
        <v>59.2079</v>
      </c>
      <c r="K248" s="12">
        <v>1</v>
      </c>
      <c r="L248" s="11">
        <f t="shared" si="14"/>
        <v>7545</v>
      </c>
      <c r="M248" s="57" t="s">
        <v>918</v>
      </c>
      <c r="N248" s="110">
        <v>893</v>
      </c>
      <c r="O248" s="57">
        <v>895</v>
      </c>
      <c r="P248" s="58">
        <v>40255.645833333336</v>
      </c>
      <c r="Q248" s="59">
        <v>69588856</v>
      </c>
      <c r="R248" s="4">
        <f t="shared" si="12"/>
        <v>0</v>
      </c>
      <c r="S248" s="4">
        <f t="shared" si="12"/>
        <v>25349372865.439766</v>
      </c>
      <c r="T248" s="4">
        <f t="shared" si="13"/>
        <v>0</v>
      </c>
      <c r="U248" s="4">
        <f t="shared" si="13"/>
        <v>25406146376.89652</v>
      </c>
      <c r="V248" s="4"/>
    </row>
    <row r="249" spans="1:22" ht="15.75">
      <c r="A249" s="52">
        <v>7550</v>
      </c>
      <c r="B249" s="12" t="s">
        <v>176</v>
      </c>
      <c r="C249" s="12" t="s">
        <v>398</v>
      </c>
      <c r="D249" s="12" t="s">
        <v>370</v>
      </c>
      <c r="E249" s="12">
        <v>0</v>
      </c>
      <c r="F249" s="12">
        <v>0</v>
      </c>
      <c r="G249" s="12">
        <v>0</v>
      </c>
      <c r="H249" s="12">
        <v>100</v>
      </c>
      <c r="I249" s="12" t="s">
        <v>401</v>
      </c>
      <c r="J249" s="12">
        <v>49.4719</v>
      </c>
      <c r="K249" s="12">
        <v>1</v>
      </c>
      <c r="L249" s="11">
        <f t="shared" si="14"/>
        <v>7550</v>
      </c>
      <c r="M249" s="57" t="s">
        <v>918</v>
      </c>
      <c r="N249" s="110">
        <v>720</v>
      </c>
      <c r="O249" s="57">
        <v>725</v>
      </c>
      <c r="P249" s="58">
        <v>40255.645833333336</v>
      </c>
      <c r="Q249" s="59">
        <v>118826400</v>
      </c>
      <c r="R249" s="4">
        <f t="shared" si="12"/>
        <v>0</v>
      </c>
      <c r="S249" s="4">
        <f t="shared" si="12"/>
        <v>43229319997.248</v>
      </c>
      <c r="T249" s="4">
        <f t="shared" si="13"/>
        <v>0</v>
      </c>
      <c r="U249" s="4">
        <f t="shared" si="13"/>
        <v>43529523608.340004</v>
      </c>
      <c r="V249" s="4"/>
    </row>
    <row r="250" spans="1:22" ht="15.75">
      <c r="A250" s="52">
        <v>7581</v>
      </c>
      <c r="B250" s="12" t="s">
        <v>1173</v>
      </c>
      <c r="C250" s="12" t="s">
        <v>398</v>
      </c>
      <c r="D250" s="12" t="s">
        <v>370</v>
      </c>
      <c r="E250" s="12">
        <v>0</v>
      </c>
      <c r="F250" s="12">
        <v>0</v>
      </c>
      <c r="G250" s="12">
        <v>0</v>
      </c>
      <c r="H250" s="12">
        <v>100</v>
      </c>
      <c r="I250" s="12" t="s">
        <v>401</v>
      </c>
      <c r="J250" s="12">
        <v>54.5226</v>
      </c>
      <c r="K250" s="12">
        <v>1</v>
      </c>
      <c r="L250" s="11">
        <f t="shared" si="14"/>
        <v>7581</v>
      </c>
      <c r="M250" s="57" t="s">
        <v>918</v>
      </c>
      <c r="N250" s="110">
        <v>1643</v>
      </c>
      <c r="O250" s="57">
        <v>1623</v>
      </c>
      <c r="P250" s="58">
        <v>40255.645833333336</v>
      </c>
      <c r="Q250" s="59">
        <v>52272342</v>
      </c>
      <c r="R250" s="4">
        <f t="shared" si="12"/>
        <v>0</v>
      </c>
      <c r="S250" s="4">
        <f t="shared" si="12"/>
        <v>39057563685.74325</v>
      </c>
      <c r="T250" s="4">
        <f t="shared" si="13"/>
        <v>0</v>
      </c>
      <c r="U250" s="4">
        <f t="shared" si="13"/>
        <v>38582121644.52909</v>
      </c>
      <c r="V250" s="4"/>
    </row>
    <row r="251" spans="1:22" ht="15.75">
      <c r="A251" s="52">
        <v>7599</v>
      </c>
      <c r="B251" s="12" t="s">
        <v>177</v>
      </c>
      <c r="C251" s="12" t="s">
        <v>398</v>
      </c>
      <c r="D251" s="12" t="s">
        <v>664</v>
      </c>
      <c r="E251" s="12">
        <v>0</v>
      </c>
      <c r="F251" s="12">
        <v>0</v>
      </c>
      <c r="G251" s="12">
        <v>0</v>
      </c>
      <c r="H251" s="12">
        <v>100</v>
      </c>
      <c r="I251" s="12" t="s">
        <v>401</v>
      </c>
      <c r="J251" s="12">
        <v>62.8737</v>
      </c>
      <c r="K251" s="12">
        <v>1</v>
      </c>
      <c r="L251" s="11">
        <f t="shared" si="14"/>
        <v>7599</v>
      </c>
      <c r="M251" s="57" t="s">
        <v>918</v>
      </c>
      <c r="N251" s="110">
        <v>3555</v>
      </c>
      <c r="O251" s="57">
        <v>3565</v>
      </c>
      <c r="P251" s="58">
        <v>40255.645833333336</v>
      </c>
      <c r="Q251" s="59">
        <v>10688800</v>
      </c>
      <c r="R251" s="4">
        <f t="shared" si="12"/>
        <v>0</v>
      </c>
      <c r="S251" s="4">
        <f t="shared" si="12"/>
        <v>14107505417.892</v>
      </c>
      <c r="T251" s="4">
        <f t="shared" si="13"/>
        <v>0</v>
      </c>
      <c r="U251" s="4">
        <f t="shared" si="13"/>
        <v>14147188977.436</v>
      </c>
      <c r="V251" s="4"/>
    </row>
    <row r="252" spans="1:22" ht="15.75">
      <c r="A252" s="52">
        <v>7649</v>
      </c>
      <c r="B252" s="12" t="s">
        <v>1174</v>
      </c>
      <c r="C252" s="12" t="s">
        <v>398</v>
      </c>
      <c r="D252" s="12" t="s">
        <v>370</v>
      </c>
      <c r="E252" s="12">
        <v>0</v>
      </c>
      <c r="F252" s="12">
        <v>0</v>
      </c>
      <c r="G252" s="12">
        <v>0</v>
      </c>
      <c r="H252" s="12">
        <v>100</v>
      </c>
      <c r="I252" s="12" t="s">
        <v>401</v>
      </c>
      <c r="J252" s="12">
        <v>48.1253</v>
      </c>
      <c r="K252" s="12">
        <v>1</v>
      </c>
      <c r="L252" s="11">
        <f t="shared" si="14"/>
        <v>7649</v>
      </c>
      <c r="M252" s="57" t="s">
        <v>918</v>
      </c>
      <c r="N252" s="110">
        <v>2181</v>
      </c>
      <c r="O252" s="57">
        <v>2129</v>
      </c>
      <c r="P252" s="58">
        <v>40255.645833333336</v>
      </c>
      <c r="Q252" s="59">
        <v>63330838</v>
      </c>
      <c r="R252" s="4">
        <f t="shared" si="12"/>
        <v>0</v>
      </c>
      <c r="S252" s="4">
        <f t="shared" si="12"/>
        <v>71651699921.78944</v>
      </c>
      <c r="T252" s="4">
        <f t="shared" si="13"/>
        <v>0</v>
      </c>
      <c r="U252" s="4">
        <f t="shared" si="13"/>
        <v>69943360446.35019</v>
      </c>
      <c r="V252" s="4"/>
    </row>
    <row r="253" spans="1:22" ht="15.75">
      <c r="A253" s="52">
        <v>7716</v>
      </c>
      <c r="B253" s="12" t="s">
        <v>178</v>
      </c>
      <c r="C253" s="12" t="s">
        <v>418</v>
      </c>
      <c r="D253" s="12" t="s">
        <v>369</v>
      </c>
      <c r="E253" s="12">
        <v>0</v>
      </c>
      <c r="F253" s="12">
        <v>0</v>
      </c>
      <c r="G253" s="12">
        <v>0</v>
      </c>
      <c r="H253" s="12">
        <v>100</v>
      </c>
      <c r="I253" s="12" t="s">
        <v>401</v>
      </c>
      <c r="J253" s="12">
        <v>35.2652</v>
      </c>
      <c r="K253" s="12">
        <v>1</v>
      </c>
      <c r="L253" s="11">
        <f t="shared" si="14"/>
        <v>7716</v>
      </c>
      <c r="M253" s="57" t="s">
        <v>923</v>
      </c>
      <c r="N253" s="110">
        <v>9460</v>
      </c>
      <c r="O253" s="57">
        <v>9450</v>
      </c>
      <c r="P253" s="58">
        <v>40255.645833333336</v>
      </c>
      <c r="Q253" s="59">
        <v>6283960</v>
      </c>
      <c r="R253" s="4">
        <f t="shared" si="12"/>
        <v>0</v>
      </c>
      <c r="S253" s="4">
        <f t="shared" si="12"/>
        <v>38482418554.2368</v>
      </c>
      <c r="T253" s="4">
        <f t="shared" si="13"/>
        <v>0</v>
      </c>
      <c r="U253" s="4">
        <f t="shared" si="13"/>
        <v>38441739464.856</v>
      </c>
      <c r="V253" s="4"/>
    </row>
    <row r="254" spans="1:22" ht="15.75">
      <c r="A254" s="52">
        <v>7718</v>
      </c>
      <c r="B254" s="12" t="s">
        <v>859</v>
      </c>
      <c r="C254" s="12" t="s">
        <v>398</v>
      </c>
      <c r="D254" s="12" t="s">
        <v>368</v>
      </c>
      <c r="E254" s="12">
        <v>0</v>
      </c>
      <c r="F254" s="12">
        <v>0</v>
      </c>
      <c r="G254" s="12">
        <v>100</v>
      </c>
      <c r="H254" s="12">
        <v>0</v>
      </c>
      <c r="I254" s="12" t="s">
        <v>401</v>
      </c>
      <c r="J254" s="12">
        <v>29.4091</v>
      </c>
      <c r="K254" s="12">
        <v>1</v>
      </c>
      <c r="L254" s="11">
        <f t="shared" si="14"/>
        <v>7718</v>
      </c>
      <c r="M254" s="57" t="s">
        <v>918</v>
      </c>
      <c r="N254" s="110">
        <v>975</v>
      </c>
      <c r="O254" s="57">
        <v>986</v>
      </c>
      <c r="P254" s="58">
        <v>40255.645833333336</v>
      </c>
      <c r="Q254" s="59">
        <v>51033234</v>
      </c>
      <c r="R254" s="4">
        <f t="shared" si="12"/>
        <v>35124198700.21335</v>
      </c>
      <c r="S254" s="4">
        <f t="shared" si="12"/>
        <v>0</v>
      </c>
      <c r="T254" s="4">
        <f t="shared" si="13"/>
        <v>35520471711.19012</v>
      </c>
      <c r="U254" s="4">
        <f t="shared" si="13"/>
        <v>0</v>
      </c>
      <c r="V254" s="4"/>
    </row>
    <row r="255" spans="1:22" ht="15.75">
      <c r="A255" s="52">
        <v>7729</v>
      </c>
      <c r="B255" s="12" t="s">
        <v>860</v>
      </c>
      <c r="C255" s="12" t="s">
        <v>398</v>
      </c>
      <c r="D255" s="12" t="s">
        <v>369</v>
      </c>
      <c r="E255" s="12">
        <v>0</v>
      </c>
      <c r="F255" s="12">
        <v>0</v>
      </c>
      <c r="G255" s="12">
        <v>50.9367</v>
      </c>
      <c r="H255" s="12">
        <v>49.0633</v>
      </c>
      <c r="I255" s="12" t="s">
        <v>401</v>
      </c>
      <c r="J255" s="12">
        <v>18.5185</v>
      </c>
      <c r="K255" s="12">
        <v>1</v>
      </c>
      <c r="L255" s="11">
        <f t="shared" si="14"/>
        <v>7729</v>
      </c>
      <c r="M255" s="57" t="s">
        <v>918</v>
      </c>
      <c r="N255" s="110">
        <v>1568</v>
      </c>
      <c r="O255" s="57">
        <v>1508</v>
      </c>
      <c r="P255" s="58">
        <v>40255.645833333336</v>
      </c>
      <c r="Q255" s="59">
        <v>41241081</v>
      </c>
      <c r="R255" s="4">
        <f t="shared" si="12"/>
        <v>26838974598.46033</v>
      </c>
      <c r="S255" s="4">
        <f t="shared" si="12"/>
        <v>25851864420.283188</v>
      </c>
      <c r="T255" s="4">
        <f t="shared" si="13"/>
        <v>25811973019.43761</v>
      </c>
      <c r="U255" s="4">
        <f t="shared" si="13"/>
        <v>24862634914.405003</v>
      </c>
      <c r="V255" s="4"/>
    </row>
    <row r="256" spans="1:22" ht="15.75">
      <c r="A256" s="52">
        <v>7735</v>
      </c>
      <c r="B256" s="12" t="s">
        <v>861</v>
      </c>
      <c r="C256" s="12" t="s">
        <v>398</v>
      </c>
      <c r="D256" s="12" t="s">
        <v>368</v>
      </c>
      <c r="E256" s="12">
        <v>0</v>
      </c>
      <c r="F256" s="12">
        <v>0</v>
      </c>
      <c r="G256" s="12">
        <v>14.0852</v>
      </c>
      <c r="H256" s="12">
        <v>85.9148</v>
      </c>
      <c r="I256" s="12" t="s">
        <v>401</v>
      </c>
      <c r="J256" s="12">
        <v>21.5622</v>
      </c>
      <c r="K256" s="12">
        <v>1</v>
      </c>
      <c r="L256" s="11">
        <f t="shared" si="14"/>
        <v>7735</v>
      </c>
      <c r="M256" s="57" t="s">
        <v>918</v>
      </c>
      <c r="N256" s="110">
        <v>427</v>
      </c>
      <c r="O256" s="57">
        <v>431</v>
      </c>
      <c r="P256" s="58">
        <v>40255.645833333336</v>
      </c>
      <c r="Q256" s="59">
        <v>253974333</v>
      </c>
      <c r="R256" s="4">
        <f t="shared" si="12"/>
        <v>11981360227.293344</v>
      </c>
      <c r="S256" s="4">
        <f t="shared" si="12"/>
        <v>73082112263.64285</v>
      </c>
      <c r="T256" s="4">
        <f t="shared" si="13"/>
        <v>12093597793.825365</v>
      </c>
      <c r="U256" s="4">
        <f t="shared" si="13"/>
        <v>73766722214.59032</v>
      </c>
      <c r="V256" s="4"/>
    </row>
    <row r="257" spans="1:22" ht="15.75">
      <c r="A257" s="52">
        <v>7739</v>
      </c>
      <c r="B257" s="12" t="s">
        <v>862</v>
      </c>
      <c r="C257" s="12" t="s">
        <v>398</v>
      </c>
      <c r="D257" s="12" t="s">
        <v>368</v>
      </c>
      <c r="E257" s="12">
        <v>0</v>
      </c>
      <c r="F257" s="12">
        <v>0</v>
      </c>
      <c r="G257" s="12">
        <v>0</v>
      </c>
      <c r="H257" s="12">
        <v>100</v>
      </c>
      <c r="I257" s="12" t="s">
        <v>401</v>
      </c>
      <c r="J257" s="12">
        <v>58.2434</v>
      </c>
      <c r="K257" s="12">
        <v>1</v>
      </c>
      <c r="L257" s="11">
        <f t="shared" si="14"/>
        <v>7739</v>
      </c>
      <c r="M257" s="57" t="s">
        <v>918</v>
      </c>
      <c r="N257" s="110">
        <v>1998</v>
      </c>
      <c r="O257" s="57">
        <v>2029</v>
      </c>
      <c r="P257" s="58">
        <v>40255.645833333336</v>
      </c>
      <c r="Q257" s="59">
        <v>41471826</v>
      </c>
      <c r="R257" s="4">
        <f t="shared" si="12"/>
        <v>0</v>
      </c>
      <c r="S257" s="4">
        <f t="shared" si="12"/>
        <v>34599814542.04097</v>
      </c>
      <c r="T257" s="4">
        <f t="shared" si="13"/>
        <v>0</v>
      </c>
      <c r="U257" s="4">
        <f t="shared" si="13"/>
        <v>35136648501.40197</v>
      </c>
      <c r="V257" s="4"/>
    </row>
    <row r="258" spans="1:22" ht="15.75">
      <c r="A258" s="52">
        <v>7757</v>
      </c>
      <c r="B258" s="12" t="s">
        <v>179</v>
      </c>
      <c r="C258" s="12" t="s">
        <v>398</v>
      </c>
      <c r="D258" s="12" t="s">
        <v>368</v>
      </c>
      <c r="E258" s="12">
        <v>0</v>
      </c>
      <c r="F258" s="12">
        <v>0</v>
      </c>
      <c r="G258" s="12">
        <v>0</v>
      </c>
      <c r="H258" s="12">
        <v>100</v>
      </c>
      <c r="I258" s="12" t="s">
        <v>401</v>
      </c>
      <c r="J258" s="12">
        <v>77.7581</v>
      </c>
      <c r="K258" s="12">
        <v>1</v>
      </c>
      <c r="L258" s="11">
        <f t="shared" si="14"/>
        <v>7757</v>
      </c>
      <c r="M258" s="57" t="s">
        <v>918</v>
      </c>
      <c r="N258" s="110">
        <v>774</v>
      </c>
      <c r="O258" s="57">
        <v>792</v>
      </c>
      <c r="P258" s="58">
        <v>40255.645833333336</v>
      </c>
      <c r="Q258" s="59">
        <v>191107628</v>
      </c>
      <c r="R258" s="4">
        <f t="shared" si="12"/>
        <v>0</v>
      </c>
      <c r="S258" s="4">
        <f t="shared" si="12"/>
        <v>32899618854.390167</v>
      </c>
      <c r="T258" s="4">
        <f t="shared" si="13"/>
        <v>0</v>
      </c>
      <c r="U258" s="4">
        <f t="shared" si="13"/>
        <v>33664726269.608543</v>
      </c>
      <c r="V258" s="4"/>
    </row>
    <row r="259" spans="1:22" ht="15.75">
      <c r="A259" s="52">
        <v>7860</v>
      </c>
      <c r="B259" s="12" t="s">
        <v>180</v>
      </c>
      <c r="C259" s="12" t="s">
        <v>398</v>
      </c>
      <c r="D259" s="12" t="s">
        <v>422</v>
      </c>
      <c r="E259" s="12">
        <v>0</v>
      </c>
      <c r="F259" s="12">
        <v>0</v>
      </c>
      <c r="G259" s="12">
        <v>12.7446</v>
      </c>
      <c r="H259" s="12">
        <v>87.2554</v>
      </c>
      <c r="I259" s="12" t="s">
        <v>401</v>
      </c>
      <c r="J259" s="12">
        <v>29.6298</v>
      </c>
      <c r="K259" s="12">
        <v>1</v>
      </c>
      <c r="L259" s="11">
        <f t="shared" si="14"/>
        <v>7860</v>
      </c>
      <c r="M259" s="57" t="s">
        <v>918</v>
      </c>
      <c r="N259" s="110">
        <v>821</v>
      </c>
      <c r="O259" s="57">
        <v>824</v>
      </c>
      <c r="P259" s="58">
        <v>40255.645833333336</v>
      </c>
      <c r="Q259" s="59">
        <v>46157810</v>
      </c>
      <c r="R259" s="4">
        <f t="shared" si="12"/>
        <v>3398625776.269042</v>
      </c>
      <c r="S259" s="4">
        <f t="shared" si="12"/>
        <v>23268557001.291977</v>
      </c>
      <c r="T259" s="4">
        <f t="shared" si="13"/>
        <v>3411044628.070268</v>
      </c>
      <c r="U259" s="4">
        <f t="shared" si="13"/>
        <v>23353582179.12861</v>
      </c>
      <c r="V259" s="4"/>
    </row>
    <row r="260" spans="1:22" ht="15.75">
      <c r="A260" s="52">
        <v>7862</v>
      </c>
      <c r="B260" s="12" t="s">
        <v>864</v>
      </c>
      <c r="C260" s="12" t="s">
        <v>398</v>
      </c>
      <c r="D260" s="12" t="s">
        <v>863</v>
      </c>
      <c r="E260" s="12">
        <v>0</v>
      </c>
      <c r="F260" s="12">
        <v>0</v>
      </c>
      <c r="G260" s="12">
        <v>100</v>
      </c>
      <c r="H260" s="12">
        <v>0</v>
      </c>
      <c r="I260" s="12" t="s">
        <v>401</v>
      </c>
      <c r="J260" s="12">
        <v>65.4681</v>
      </c>
      <c r="K260" s="12">
        <v>1</v>
      </c>
      <c r="L260" s="11">
        <f t="shared" si="14"/>
        <v>7862</v>
      </c>
      <c r="M260" s="57" t="s">
        <v>918</v>
      </c>
      <c r="N260" s="110">
        <v>1000</v>
      </c>
      <c r="O260" s="57">
        <v>1015</v>
      </c>
      <c r="P260" s="58">
        <v>40255.645833333336</v>
      </c>
      <c r="Q260" s="59">
        <v>115000000</v>
      </c>
      <c r="R260" s="4">
        <f t="shared" si="12"/>
        <v>39711684999.999985</v>
      </c>
      <c r="S260" s="4">
        <f t="shared" si="12"/>
        <v>0</v>
      </c>
      <c r="T260" s="4">
        <f t="shared" si="13"/>
        <v>40307360274.999985</v>
      </c>
      <c r="U260" s="4">
        <f t="shared" si="13"/>
        <v>0</v>
      </c>
      <c r="V260" s="4"/>
    </row>
    <row r="261" spans="1:22" ht="15.75">
      <c r="A261" s="52">
        <v>7864</v>
      </c>
      <c r="B261" s="12" t="s">
        <v>183</v>
      </c>
      <c r="C261" s="12" t="s">
        <v>398</v>
      </c>
      <c r="D261" s="12" t="s">
        <v>863</v>
      </c>
      <c r="E261" s="12">
        <v>0</v>
      </c>
      <c r="F261" s="12">
        <v>0</v>
      </c>
      <c r="G261" s="12">
        <v>43.3713</v>
      </c>
      <c r="H261" s="12">
        <v>56.6287</v>
      </c>
      <c r="I261" s="12" t="s">
        <v>401</v>
      </c>
      <c r="J261" s="12">
        <v>41.1024</v>
      </c>
      <c r="K261" s="12">
        <v>1</v>
      </c>
      <c r="L261" s="11">
        <f t="shared" si="14"/>
        <v>7864</v>
      </c>
      <c r="M261" s="57" t="s">
        <v>918</v>
      </c>
      <c r="N261" s="110">
        <v>1887</v>
      </c>
      <c r="O261" s="57">
        <v>1885</v>
      </c>
      <c r="P261" s="58">
        <v>40255.645833333336</v>
      </c>
      <c r="Q261" s="59">
        <v>30080978</v>
      </c>
      <c r="R261" s="4">
        <f t="shared" si="12"/>
        <v>14499862709.83673</v>
      </c>
      <c r="S261" s="4">
        <f t="shared" si="12"/>
        <v>18932067414.085606</v>
      </c>
      <c r="T261" s="4">
        <f t="shared" si="13"/>
        <v>14484494545.862337</v>
      </c>
      <c r="U261" s="4">
        <f t="shared" si="13"/>
        <v>18912001629.86294</v>
      </c>
      <c r="V261" s="4"/>
    </row>
    <row r="262" spans="1:22" ht="15.75">
      <c r="A262" s="52">
        <v>7867</v>
      </c>
      <c r="B262" s="12" t="s">
        <v>1175</v>
      </c>
      <c r="C262" s="12" t="s">
        <v>398</v>
      </c>
      <c r="D262" s="12" t="s">
        <v>863</v>
      </c>
      <c r="E262" s="12">
        <v>0</v>
      </c>
      <c r="F262" s="12">
        <v>0</v>
      </c>
      <c r="G262" s="12">
        <v>0</v>
      </c>
      <c r="H262" s="12">
        <v>100</v>
      </c>
      <c r="I262" s="12" t="s">
        <v>401</v>
      </c>
      <c r="J262" s="12">
        <v>41.8562</v>
      </c>
      <c r="K262" s="12">
        <v>1</v>
      </c>
      <c r="L262" s="11">
        <f t="shared" si="14"/>
        <v>7867</v>
      </c>
      <c r="M262" s="57" t="s">
        <v>918</v>
      </c>
      <c r="N262" s="110">
        <v>730</v>
      </c>
      <c r="O262" s="57">
        <v>728</v>
      </c>
      <c r="P262" s="58">
        <v>40255.645833333336</v>
      </c>
      <c r="Q262" s="59">
        <v>96290850</v>
      </c>
      <c r="R262" s="4">
        <f t="shared" si="12"/>
        <v>0</v>
      </c>
      <c r="S262" s="4">
        <f t="shared" si="12"/>
        <v>40870626246.879005</v>
      </c>
      <c r="T262" s="4">
        <f t="shared" si="13"/>
        <v>0</v>
      </c>
      <c r="U262" s="4">
        <f t="shared" si="13"/>
        <v>40758651928.394394</v>
      </c>
      <c r="V262" s="4"/>
    </row>
    <row r="263" spans="1:22" ht="15.75">
      <c r="A263" s="52">
        <v>7947</v>
      </c>
      <c r="B263" s="12" t="s">
        <v>1176</v>
      </c>
      <c r="C263" s="12" t="s">
        <v>404</v>
      </c>
      <c r="D263" s="12" t="s">
        <v>681</v>
      </c>
      <c r="E263" s="12">
        <v>0</v>
      </c>
      <c r="F263" s="12">
        <v>0</v>
      </c>
      <c r="G263" s="12">
        <v>0</v>
      </c>
      <c r="H263" s="12">
        <v>100</v>
      </c>
      <c r="I263" s="12" t="s">
        <v>401</v>
      </c>
      <c r="J263" s="12">
        <v>48.8296</v>
      </c>
      <c r="K263" s="12">
        <v>1</v>
      </c>
      <c r="L263" s="11">
        <f t="shared" si="14"/>
        <v>7947</v>
      </c>
      <c r="M263" s="57" t="s">
        <v>919</v>
      </c>
      <c r="N263" s="110">
        <v>4125</v>
      </c>
      <c r="O263" s="57">
        <v>4135</v>
      </c>
      <c r="P263" s="58">
        <v>40255.645833333336</v>
      </c>
      <c r="Q263" s="59">
        <v>22142106</v>
      </c>
      <c r="R263" s="4">
        <f t="shared" si="12"/>
        <v>0</v>
      </c>
      <c r="S263" s="4">
        <f t="shared" si="12"/>
        <v>46737092360.574</v>
      </c>
      <c r="T263" s="4">
        <f t="shared" si="13"/>
        <v>0</v>
      </c>
      <c r="U263" s="4">
        <f t="shared" si="13"/>
        <v>46850394402.66024</v>
      </c>
      <c r="V263" s="4"/>
    </row>
    <row r="264" spans="1:22" ht="15.75">
      <c r="A264" s="52">
        <v>7956</v>
      </c>
      <c r="B264" s="12" t="s">
        <v>1177</v>
      </c>
      <c r="C264" s="12" t="s">
        <v>398</v>
      </c>
      <c r="D264" s="12" t="s">
        <v>863</v>
      </c>
      <c r="E264" s="12">
        <v>0</v>
      </c>
      <c r="F264" s="12">
        <v>0</v>
      </c>
      <c r="G264" s="12">
        <v>0</v>
      </c>
      <c r="H264" s="12">
        <v>100</v>
      </c>
      <c r="I264" s="12" t="s">
        <v>401</v>
      </c>
      <c r="J264" s="12">
        <v>24.4234</v>
      </c>
      <c r="K264" s="12">
        <v>1</v>
      </c>
      <c r="L264" s="11">
        <f t="shared" si="14"/>
        <v>7956</v>
      </c>
      <c r="M264" s="57" t="s">
        <v>918</v>
      </c>
      <c r="N264" s="110">
        <v>3380</v>
      </c>
      <c r="O264" s="57">
        <v>3385</v>
      </c>
      <c r="P264" s="58">
        <v>40255.645833333336</v>
      </c>
      <c r="Q264" s="59">
        <v>20275581</v>
      </c>
      <c r="R264" s="4">
        <f t="shared" si="12"/>
        <v>0</v>
      </c>
      <c r="S264" s="4">
        <f t="shared" si="12"/>
        <v>51793750255.15548</v>
      </c>
      <c r="T264" s="4">
        <f t="shared" si="13"/>
        <v>0</v>
      </c>
      <c r="U264" s="4">
        <f t="shared" si="13"/>
        <v>51870368228.90571</v>
      </c>
      <c r="V264" s="4"/>
    </row>
    <row r="265" spans="1:22" ht="15.75">
      <c r="A265" s="52">
        <v>7960</v>
      </c>
      <c r="B265" s="12" t="s">
        <v>184</v>
      </c>
      <c r="C265" s="12" t="s">
        <v>398</v>
      </c>
      <c r="D265" s="12" t="s">
        <v>863</v>
      </c>
      <c r="E265" s="12">
        <v>0</v>
      </c>
      <c r="F265" s="12">
        <v>0</v>
      </c>
      <c r="G265" s="12">
        <v>100</v>
      </c>
      <c r="H265" s="12">
        <v>0</v>
      </c>
      <c r="I265" s="12" t="s">
        <v>401</v>
      </c>
      <c r="J265" s="12">
        <v>59.8933</v>
      </c>
      <c r="K265" s="12">
        <v>1</v>
      </c>
      <c r="L265" s="11">
        <f t="shared" si="14"/>
        <v>7960</v>
      </c>
      <c r="M265" s="57" t="s">
        <v>918</v>
      </c>
      <c r="N265" s="110">
        <v>1776</v>
      </c>
      <c r="O265" s="57">
        <v>1774</v>
      </c>
      <c r="P265" s="58">
        <v>40255.645833333336</v>
      </c>
      <c r="Q265" s="59">
        <v>31682526</v>
      </c>
      <c r="R265" s="4">
        <f t="shared" si="12"/>
        <v>22567304603.70979</v>
      </c>
      <c r="S265" s="4">
        <f t="shared" si="12"/>
        <v>0</v>
      </c>
      <c r="T265" s="4">
        <f t="shared" si="13"/>
        <v>22541890972.399307</v>
      </c>
      <c r="U265" s="4">
        <f t="shared" si="13"/>
        <v>0</v>
      </c>
      <c r="V265" s="4"/>
    </row>
    <row r="266" spans="1:22" ht="15.75">
      <c r="A266" s="52">
        <v>7966</v>
      </c>
      <c r="B266" s="12" t="s">
        <v>865</v>
      </c>
      <c r="C266" s="12" t="s">
        <v>398</v>
      </c>
      <c r="D266" s="12" t="s">
        <v>863</v>
      </c>
      <c r="E266" s="12">
        <v>0</v>
      </c>
      <c r="F266" s="12">
        <v>0</v>
      </c>
      <c r="G266" s="12">
        <v>80.2055</v>
      </c>
      <c r="H266" s="12">
        <v>19.7945</v>
      </c>
      <c r="I266" s="12" t="s">
        <v>401</v>
      </c>
      <c r="J266" s="12">
        <v>42.46</v>
      </c>
      <c r="K266" s="12">
        <v>1</v>
      </c>
      <c r="L266" s="11">
        <f t="shared" si="14"/>
        <v>7966</v>
      </c>
      <c r="M266" s="57" t="s">
        <v>918</v>
      </c>
      <c r="N266" s="110">
        <v>1815</v>
      </c>
      <c r="O266" s="57">
        <v>1813</v>
      </c>
      <c r="P266" s="58">
        <v>40255.645833333336</v>
      </c>
      <c r="Q266" s="59">
        <v>76564240</v>
      </c>
      <c r="R266" s="4">
        <f t="shared" si="12"/>
        <v>64132270164.54194</v>
      </c>
      <c r="S266" s="4">
        <f t="shared" si="12"/>
        <v>15827670443.698065</v>
      </c>
      <c r="T266" s="4">
        <f t="shared" si="13"/>
        <v>64061600996.31655</v>
      </c>
      <c r="U266" s="4">
        <f t="shared" si="13"/>
        <v>15810229484.531456</v>
      </c>
      <c r="V266" s="4"/>
    </row>
    <row r="267" spans="1:22" ht="15.75">
      <c r="A267" s="52">
        <v>7981</v>
      </c>
      <c r="B267" s="12" t="s">
        <v>185</v>
      </c>
      <c r="C267" s="12" t="s">
        <v>398</v>
      </c>
      <c r="D267" s="12" t="s">
        <v>863</v>
      </c>
      <c r="E267" s="12">
        <v>0</v>
      </c>
      <c r="F267" s="12">
        <v>0</v>
      </c>
      <c r="G267" s="12">
        <v>100</v>
      </c>
      <c r="H267" s="12">
        <v>0</v>
      </c>
      <c r="I267" s="12" t="s">
        <v>401</v>
      </c>
      <c r="J267" s="12">
        <v>49.7051</v>
      </c>
      <c r="K267" s="12">
        <v>1</v>
      </c>
      <c r="L267" s="11">
        <f t="shared" si="14"/>
        <v>7981</v>
      </c>
      <c r="M267" s="57" t="s">
        <v>918</v>
      </c>
      <c r="N267" s="110">
        <v>547</v>
      </c>
      <c r="O267" s="57">
        <v>549</v>
      </c>
      <c r="P267" s="58">
        <v>40255.645833333336</v>
      </c>
      <c r="Q267" s="59">
        <v>147874388</v>
      </c>
      <c r="R267" s="4">
        <f t="shared" si="12"/>
        <v>40682181736.90596</v>
      </c>
      <c r="S267" s="4">
        <f t="shared" si="12"/>
        <v>0</v>
      </c>
      <c r="T267" s="4">
        <f t="shared" si="13"/>
        <v>40830928288.04639</v>
      </c>
      <c r="U267" s="4">
        <f t="shared" si="13"/>
        <v>0</v>
      </c>
      <c r="V267" s="4"/>
    </row>
    <row r="268" spans="1:22" ht="15.75">
      <c r="A268" s="52">
        <v>7984</v>
      </c>
      <c r="B268" s="12" t="s">
        <v>866</v>
      </c>
      <c r="C268" s="12" t="s">
        <v>398</v>
      </c>
      <c r="D268" s="12" t="s">
        <v>863</v>
      </c>
      <c r="E268" s="12">
        <v>0</v>
      </c>
      <c r="F268" s="12">
        <v>0</v>
      </c>
      <c r="G268" s="12">
        <v>100</v>
      </c>
      <c r="H268" s="12">
        <v>0</v>
      </c>
      <c r="I268" s="12" t="s">
        <v>401</v>
      </c>
      <c r="J268" s="12">
        <v>45.1845</v>
      </c>
      <c r="K268" s="12">
        <v>1</v>
      </c>
      <c r="L268" s="11">
        <f t="shared" si="14"/>
        <v>7984</v>
      </c>
      <c r="M268" s="57" t="s">
        <v>918</v>
      </c>
      <c r="N268" s="110">
        <v>726</v>
      </c>
      <c r="O268" s="57">
        <v>736</v>
      </c>
      <c r="P268" s="58">
        <v>40255.645833333336</v>
      </c>
      <c r="Q268" s="59">
        <v>128742463</v>
      </c>
      <c r="R268" s="4">
        <f t="shared" si="12"/>
        <v>51234418808.9854</v>
      </c>
      <c r="S268" s="4">
        <f t="shared" si="12"/>
        <v>0</v>
      </c>
      <c r="T268" s="4">
        <f t="shared" si="13"/>
        <v>51940127057.043045</v>
      </c>
      <c r="U268" s="4">
        <f t="shared" si="13"/>
        <v>0</v>
      </c>
      <c r="V268" s="4"/>
    </row>
    <row r="269" spans="1:22" ht="15.75">
      <c r="A269" s="52">
        <v>7988</v>
      </c>
      <c r="B269" s="12" t="s">
        <v>867</v>
      </c>
      <c r="C269" s="12" t="s">
        <v>398</v>
      </c>
      <c r="D269" s="12" t="s">
        <v>681</v>
      </c>
      <c r="E269" s="12">
        <v>0</v>
      </c>
      <c r="F269" s="12">
        <v>0</v>
      </c>
      <c r="G269" s="12">
        <v>18.4459</v>
      </c>
      <c r="H269" s="12">
        <v>81.5541</v>
      </c>
      <c r="I269" s="12" t="s">
        <v>401</v>
      </c>
      <c r="J269" s="12">
        <v>23.2897</v>
      </c>
      <c r="K269" s="12">
        <v>1</v>
      </c>
      <c r="L269" s="11">
        <f t="shared" si="14"/>
        <v>7988</v>
      </c>
      <c r="M269" s="57" t="s">
        <v>918</v>
      </c>
      <c r="N269" s="110">
        <v>2028</v>
      </c>
      <c r="O269" s="57">
        <v>2051</v>
      </c>
      <c r="P269" s="58">
        <v>40255.645833333336</v>
      </c>
      <c r="Q269" s="59">
        <v>53754477</v>
      </c>
      <c r="R269" s="4">
        <f t="shared" si="12"/>
        <v>15425388913.723671</v>
      </c>
      <c r="S269" s="4">
        <f t="shared" si="12"/>
        <v>68199638402.502014</v>
      </c>
      <c r="T269" s="4">
        <f t="shared" si="13"/>
        <v>15600331687.400024</v>
      </c>
      <c r="U269" s="4">
        <f t="shared" si="13"/>
        <v>68973105701.93866</v>
      </c>
      <c r="V269" s="4"/>
    </row>
    <row r="270" spans="1:22" ht="15.75">
      <c r="A270" s="52">
        <v>8011</v>
      </c>
      <c r="B270" s="12" t="s">
        <v>868</v>
      </c>
      <c r="C270" s="12" t="s">
        <v>398</v>
      </c>
      <c r="D270" s="12" t="s">
        <v>668</v>
      </c>
      <c r="E270" s="12">
        <v>0</v>
      </c>
      <c r="F270" s="12">
        <v>0</v>
      </c>
      <c r="G270" s="12">
        <v>100</v>
      </c>
      <c r="H270" s="12">
        <v>0</v>
      </c>
      <c r="I270" s="12" t="s">
        <v>401</v>
      </c>
      <c r="J270" s="12">
        <v>27.6651</v>
      </c>
      <c r="K270" s="12">
        <v>1</v>
      </c>
      <c r="L270" s="11">
        <f t="shared" si="14"/>
        <v>8011</v>
      </c>
      <c r="M270" s="57" t="s">
        <v>918</v>
      </c>
      <c r="N270" s="110">
        <v>348</v>
      </c>
      <c r="O270" s="57">
        <v>341</v>
      </c>
      <c r="P270" s="58">
        <v>40255.645833333336</v>
      </c>
      <c r="Q270" s="59">
        <v>126229345</v>
      </c>
      <c r="R270" s="4">
        <f t="shared" si="12"/>
        <v>31775138925.788937</v>
      </c>
      <c r="S270" s="4">
        <f t="shared" si="12"/>
        <v>0</v>
      </c>
      <c r="T270" s="4">
        <f t="shared" si="13"/>
        <v>31135983832.454105</v>
      </c>
      <c r="U270" s="4">
        <f t="shared" si="13"/>
        <v>0</v>
      </c>
      <c r="V270" s="4"/>
    </row>
    <row r="271" spans="1:22" ht="15.75">
      <c r="A271" s="52">
        <v>8012</v>
      </c>
      <c r="B271" s="12" t="s">
        <v>869</v>
      </c>
      <c r="C271" s="12" t="s">
        <v>398</v>
      </c>
      <c r="D271" s="12" t="s">
        <v>664</v>
      </c>
      <c r="E271" s="12">
        <v>0</v>
      </c>
      <c r="F271" s="12">
        <v>0</v>
      </c>
      <c r="G271" s="12">
        <v>100</v>
      </c>
      <c r="H271" s="12">
        <v>0</v>
      </c>
      <c r="I271" s="12" t="s">
        <v>401</v>
      </c>
      <c r="J271" s="12">
        <v>37.9372</v>
      </c>
      <c r="K271" s="12">
        <v>1</v>
      </c>
      <c r="L271" s="11">
        <f t="shared" si="14"/>
        <v>8012</v>
      </c>
      <c r="M271" s="57" t="s">
        <v>918</v>
      </c>
      <c r="N271" s="110">
        <v>1125</v>
      </c>
      <c r="O271" s="57">
        <v>1139</v>
      </c>
      <c r="P271" s="58">
        <v>40255.645833333336</v>
      </c>
      <c r="Q271" s="59">
        <v>138408285</v>
      </c>
      <c r="R271" s="4">
        <f aca="true" t="shared" si="15" ref="R271:S332">(E271+G271)*(100-$J271)*$N271*$Q271/10000</f>
        <v>96637564240.85251</v>
      </c>
      <c r="S271" s="4">
        <f t="shared" si="15"/>
        <v>0</v>
      </c>
      <c r="T271" s="4">
        <f t="shared" si="13"/>
        <v>97840165040.29424</v>
      </c>
      <c r="U271" s="4">
        <f t="shared" si="13"/>
        <v>0</v>
      </c>
      <c r="V271" s="4"/>
    </row>
    <row r="272" spans="1:22" ht="15.75">
      <c r="A272" s="52">
        <v>8016</v>
      </c>
      <c r="B272" s="12" t="s">
        <v>870</v>
      </c>
      <c r="C272" s="12" t="s">
        <v>398</v>
      </c>
      <c r="D272" s="12" t="s">
        <v>668</v>
      </c>
      <c r="E272" s="12">
        <v>0</v>
      </c>
      <c r="F272" s="12">
        <v>0</v>
      </c>
      <c r="G272" s="12">
        <v>100</v>
      </c>
      <c r="H272" s="12">
        <v>0</v>
      </c>
      <c r="I272" s="12" t="s">
        <v>401</v>
      </c>
      <c r="J272" s="12">
        <v>39.0736</v>
      </c>
      <c r="K272" s="12">
        <v>1</v>
      </c>
      <c r="L272" s="11">
        <f t="shared" si="14"/>
        <v>8016</v>
      </c>
      <c r="M272" s="57" t="s">
        <v>918</v>
      </c>
      <c r="N272" s="110">
        <v>696</v>
      </c>
      <c r="O272" s="57">
        <v>699</v>
      </c>
      <c r="P272" s="58">
        <v>40255.645833333336</v>
      </c>
      <c r="Q272" s="59">
        <v>172921669</v>
      </c>
      <c r="R272" s="4">
        <f t="shared" si="15"/>
        <v>73327043628.16473</v>
      </c>
      <c r="S272" s="4">
        <f t="shared" si="15"/>
        <v>0</v>
      </c>
      <c r="T272" s="4">
        <f aca="true" t="shared" si="16" ref="T272:U333">(E272+G272)*(100-$J272)*$O272*$Q272/10000</f>
        <v>73643108471.38959</v>
      </c>
      <c r="U272" s="4">
        <f t="shared" si="16"/>
        <v>0</v>
      </c>
      <c r="V272" s="4"/>
    </row>
    <row r="273" spans="1:22" ht="15.75">
      <c r="A273" s="52">
        <v>8020</v>
      </c>
      <c r="B273" s="12" t="s">
        <v>186</v>
      </c>
      <c r="C273" s="12" t="s">
        <v>398</v>
      </c>
      <c r="D273" s="12" t="s">
        <v>664</v>
      </c>
      <c r="E273" s="12">
        <v>0</v>
      </c>
      <c r="F273" s="12">
        <v>0</v>
      </c>
      <c r="G273" s="12">
        <v>58.5274</v>
      </c>
      <c r="H273" s="12">
        <v>41.4726</v>
      </c>
      <c r="I273" s="12" t="s">
        <v>401</v>
      </c>
      <c r="J273" s="12">
        <v>18.275</v>
      </c>
      <c r="K273" s="12">
        <v>1</v>
      </c>
      <c r="L273" s="11">
        <f aca="true" t="shared" si="17" ref="L273:L334">A273</f>
        <v>8020</v>
      </c>
      <c r="M273" s="57" t="s">
        <v>918</v>
      </c>
      <c r="N273" s="110">
        <v>75</v>
      </c>
      <c r="O273" s="57">
        <v>76</v>
      </c>
      <c r="P273" s="58">
        <v>40255.645833333336</v>
      </c>
      <c r="Q273" s="59">
        <v>422501010</v>
      </c>
      <c r="R273" s="4">
        <f t="shared" si="15"/>
        <v>15156648387.718369</v>
      </c>
      <c r="S273" s="4">
        <f t="shared" si="15"/>
        <v>10740022893.96913</v>
      </c>
      <c r="T273" s="4">
        <f t="shared" si="16"/>
        <v>15358737032.887947</v>
      </c>
      <c r="U273" s="4">
        <f t="shared" si="16"/>
        <v>10883223199.222052</v>
      </c>
      <c r="V273" s="4"/>
    </row>
    <row r="274" spans="1:22" ht="15.75">
      <c r="A274" s="52">
        <v>8022</v>
      </c>
      <c r="B274" s="12" t="s">
        <v>187</v>
      </c>
      <c r="C274" s="12" t="s">
        <v>398</v>
      </c>
      <c r="D274" s="12" t="s">
        <v>863</v>
      </c>
      <c r="E274" s="12">
        <v>0</v>
      </c>
      <c r="F274" s="12">
        <v>0</v>
      </c>
      <c r="G274" s="12">
        <v>100</v>
      </c>
      <c r="H274" s="12">
        <v>0</v>
      </c>
      <c r="I274" s="12" t="s">
        <v>401</v>
      </c>
      <c r="J274" s="12">
        <v>52.305</v>
      </c>
      <c r="K274" s="12">
        <v>1</v>
      </c>
      <c r="L274" s="11">
        <f t="shared" si="17"/>
        <v>8022</v>
      </c>
      <c r="M274" s="57" t="s">
        <v>918</v>
      </c>
      <c r="N274" s="110">
        <v>405</v>
      </c>
      <c r="O274" s="57">
        <v>408</v>
      </c>
      <c r="P274" s="58">
        <v>40255.645833333336</v>
      </c>
      <c r="Q274" s="59">
        <v>132891217</v>
      </c>
      <c r="R274" s="4">
        <f t="shared" si="15"/>
        <v>25669898709.00075</v>
      </c>
      <c r="S274" s="4">
        <f t="shared" si="15"/>
        <v>0</v>
      </c>
      <c r="T274" s="4">
        <f t="shared" si="16"/>
        <v>25860046106.8452</v>
      </c>
      <c r="U274" s="4">
        <f t="shared" si="16"/>
        <v>0</v>
      </c>
      <c r="V274" s="4"/>
    </row>
    <row r="275" spans="1:22" ht="15.75">
      <c r="A275" s="52">
        <v>8056</v>
      </c>
      <c r="B275" s="12" t="s">
        <v>871</v>
      </c>
      <c r="C275" s="12" t="s">
        <v>398</v>
      </c>
      <c r="D275" s="12" t="s">
        <v>422</v>
      </c>
      <c r="E275" s="12">
        <v>0</v>
      </c>
      <c r="F275" s="12">
        <v>0</v>
      </c>
      <c r="G275" s="12">
        <v>0</v>
      </c>
      <c r="H275" s="12">
        <v>100</v>
      </c>
      <c r="I275" s="12" t="s">
        <v>401</v>
      </c>
      <c r="J275" s="12">
        <v>48.9327</v>
      </c>
      <c r="K275" s="12">
        <v>1</v>
      </c>
      <c r="L275" s="11">
        <f t="shared" si="17"/>
        <v>8056</v>
      </c>
      <c r="M275" s="57" t="s">
        <v>918</v>
      </c>
      <c r="N275" s="110">
        <v>585</v>
      </c>
      <c r="O275" s="57">
        <v>583</v>
      </c>
      <c r="P275" s="58">
        <v>40255.645833333336</v>
      </c>
      <c r="Q275" s="59">
        <v>109663524</v>
      </c>
      <c r="R275" s="4">
        <f t="shared" si="15"/>
        <v>0</v>
      </c>
      <c r="S275" s="4">
        <f t="shared" si="15"/>
        <v>32761287463.116425</v>
      </c>
      <c r="T275" s="4">
        <f t="shared" si="16"/>
        <v>0</v>
      </c>
      <c r="U275" s="4">
        <f t="shared" si="16"/>
        <v>32649283061.53312</v>
      </c>
      <c r="V275" s="4"/>
    </row>
    <row r="276" spans="1:22" ht="15.75">
      <c r="A276" s="52">
        <v>8060</v>
      </c>
      <c r="B276" s="12" t="s">
        <v>872</v>
      </c>
      <c r="C276" s="12" t="s">
        <v>398</v>
      </c>
      <c r="D276" s="12" t="s">
        <v>664</v>
      </c>
      <c r="E276" s="12">
        <v>0</v>
      </c>
      <c r="F276" s="12">
        <v>0</v>
      </c>
      <c r="G276" s="12">
        <v>100</v>
      </c>
      <c r="H276" s="12">
        <v>0</v>
      </c>
      <c r="I276" s="12" t="s">
        <v>401</v>
      </c>
      <c r="J276" s="12">
        <v>63.9722</v>
      </c>
      <c r="K276" s="12">
        <v>1</v>
      </c>
      <c r="L276" s="11">
        <f t="shared" si="17"/>
        <v>8060</v>
      </c>
      <c r="M276" s="57" t="s">
        <v>918</v>
      </c>
      <c r="N276" s="110">
        <v>1230</v>
      </c>
      <c r="O276" s="57">
        <v>1228</v>
      </c>
      <c r="P276" s="58">
        <v>40255.645833333336</v>
      </c>
      <c r="Q276" s="59">
        <v>151079972</v>
      </c>
      <c r="R276" s="4">
        <f t="shared" si="15"/>
        <v>66949871887.22568</v>
      </c>
      <c r="S276" s="4">
        <f t="shared" si="15"/>
        <v>0</v>
      </c>
      <c r="T276" s="4">
        <f t="shared" si="16"/>
        <v>66841010306.92125</v>
      </c>
      <c r="U276" s="4">
        <f t="shared" si="16"/>
        <v>0</v>
      </c>
      <c r="V276" s="4"/>
    </row>
    <row r="277" spans="1:22" ht="15.75">
      <c r="A277" s="52">
        <v>8078</v>
      </c>
      <c r="B277" s="12" t="s">
        <v>873</v>
      </c>
      <c r="C277" s="12" t="s">
        <v>398</v>
      </c>
      <c r="D277" s="12" t="s">
        <v>664</v>
      </c>
      <c r="E277" s="12">
        <v>0</v>
      </c>
      <c r="F277" s="12">
        <v>0</v>
      </c>
      <c r="G277" s="12">
        <v>100</v>
      </c>
      <c r="H277" s="12">
        <v>0</v>
      </c>
      <c r="I277" s="12" t="s">
        <v>401</v>
      </c>
      <c r="J277" s="12">
        <v>15.4237</v>
      </c>
      <c r="K277" s="12">
        <v>1</v>
      </c>
      <c r="L277" s="11">
        <f t="shared" si="17"/>
        <v>8078</v>
      </c>
      <c r="M277" s="57" t="s">
        <v>918</v>
      </c>
      <c r="N277" s="110">
        <v>401</v>
      </c>
      <c r="O277" s="57">
        <v>401</v>
      </c>
      <c r="P277" s="58">
        <v>40255.645833333336</v>
      </c>
      <c r="Q277" s="59">
        <v>211663200</v>
      </c>
      <c r="R277" s="4">
        <f t="shared" si="15"/>
        <v>71785778111.6616</v>
      </c>
      <c r="S277" s="4">
        <f t="shared" si="15"/>
        <v>0</v>
      </c>
      <c r="T277" s="4">
        <f t="shared" si="16"/>
        <v>71785778111.6616</v>
      </c>
      <c r="U277" s="4">
        <f t="shared" si="16"/>
        <v>0</v>
      </c>
      <c r="V277" s="4"/>
    </row>
    <row r="278" spans="1:22" ht="15.75">
      <c r="A278" s="52">
        <v>8086</v>
      </c>
      <c r="B278" s="12" t="s">
        <v>874</v>
      </c>
      <c r="C278" s="12" t="s">
        <v>398</v>
      </c>
      <c r="D278" s="12" t="s">
        <v>369</v>
      </c>
      <c r="E278" s="12">
        <v>0</v>
      </c>
      <c r="F278" s="12">
        <v>0</v>
      </c>
      <c r="G278" s="12">
        <v>85.6857</v>
      </c>
      <c r="H278" s="12">
        <v>14.3143</v>
      </c>
      <c r="I278" s="12" t="s">
        <v>401</v>
      </c>
      <c r="J278" s="12">
        <v>41.3661</v>
      </c>
      <c r="K278" s="12">
        <v>1</v>
      </c>
      <c r="L278" s="11">
        <f t="shared" si="17"/>
        <v>8086</v>
      </c>
      <c r="M278" s="57" t="s">
        <v>918</v>
      </c>
      <c r="N278" s="110">
        <v>1815</v>
      </c>
      <c r="O278" s="57">
        <v>1823</v>
      </c>
      <c r="P278" s="58">
        <v>40255.645833333336</v>
      </c>
      <c r="Q278" s="59">
        <v>63878505</v>
      </c>
      <c r="R278" s="4">
        <f t="shared" si="15"/>
        <v>58249004006.90188</v>
      </c>
      <c r="S278" s="4">
        <f t="shared" si="15"/>
        <v>9730838611.99705</v>
      </c>
      <c r="T278" s="4">
        <f t="shared" si="16"/>
        <v>58505748928.14441</v>
      </c>
      <c r="U278" s="4">
        <f t="shared" si="16"/>
        <v>9773729360.700066</v>
      </c>
      <c r="V278" s="4"/>
    </row>
    <row r="279" spans="1:22" ht="15.75">
      <c r="A279" s="52">
        <v>8088</v>
      </c>
      <c r="B279" s="12" t="s">
        <v>875</v>
      </c>
      <c r="C279" s="12" t="s">
        <v>398</v>
      </c>
      <c r="D279" s="12" t="s">
        <v>664</v>
      </c>
      <c r="E279" s="12">
        <v>0</v>
      </c>
      <c r="F279" s="12">
        <v>0</v>
      </c>
      <c r="G279" s="12">
        <v>42.6842</v>
      </c>
      <c r="H279" s="12">
        <v>57.3158</v>
      </c>
      <c r="I279" s="12" t="s">
        <v>401</v>
      </c>
      <c r="J279" s="12">
        <v>29.6888</v>
      </c>
      <c r="K279" s="12">
        <v>1</v>
      </c>
      <c r="L279" s="11">
        <f t="shared" si="17"/>
        <v>8088</v>
      </c>
      <c r="M279" s="57" t="s">
        <v>918</v>
      </c>
      <c r="N279" s="110">
        <v>268</v>
      </c>
      <c r="O279" s="57">
        <v>270</v>
      </c>
      <c r="P279" s="58">
        <v>40255.645833333336</v>
      </c>
      <c r="Q279" s="59">
        <v>251365028</v>
      </c>
      <c r="R279" s="4">
        <f t="shared" si="15"/>
        <v>20217679385.282913</v>
      </c>
      <c r="S279" s="4">
        <f t="shared" si="15"/>
        <v>27148042322.709534</v>
      </c>
      <c r="T279" s="4">
        <f t="shared" si="16"/>
        <v>20368557589.650696</v>
      </c>
      <c r="U279" s="4">
        <f t="shared" si="16"/>
        <v>27350639653.476025</v>
      </c>
      <c r="V279" s="4"/>
    </row>
    <row r="280" spans="1:22" ht="15.75">
      <c r="A280" s="52">
        <v>8112</v>
      </c>
      <c r="B280" s="12" t="s">
        <v>876</v>
      </c>
      <c r="C280" s="12" t="s">
        <v>398</v>
      </c>
      <c r="D280" s="12" t="s">
        <v>668</v>
      </c>
      <c r="E280" s="12">
        <v>0</v>
      </c>
      <c r="F280" s="12">
        <v>0</v>
      </c>
      <c r="G280" s="12">
        <v>100</v>
      </c>
      <c r="H280" s="12">
        <v>0</v>
      </c>
      <c r="I280" s="12" t="s">
        <v>401</v>
      </c>
      <c r="J280" s="12">
        <v>44.7919</v>
      </c>
      <c r="K280" s="12">
        <v>1</v>
      </c>
      <c r="L280" s="11">
        <f t="shared" si="17"/>
        <v>8112</v>
      </c>
      <c r="M280" s="57" t="s">
        <v>918</v>
      </c>
      <c r="N280" s="110">
        <v>645</v>
      </c>
      <c r="O280" s="57">
        <v>649</v>
      </c>
      <c r="P280" s="58">
        <v>40255.645833333336</v>
      </c>
      <c r="Q280" s="59">
        <v>102507668</v>
      </c>
      <c r="R280" s="4">
        <f t="shared" si="15"/>
        <v>36502185627.83466</v>
      </c>
      <c r="S280" s="4">
        <f t="shared" si="15"/>
        <v>0</v>
      </c>
      <c r="T280" s="4">
        <f t="shared" si="16"/>
        <v>36728555771.26309</v>
      </c>
      <c r="U280" s="4">
        <f t="shared" si="16"/>
        <v>0</v>
      </c>
      <c r="V280" s="4"/>
    </row>
    <row r="281" spans="1:22" ht="15.75">
      <c r="A281" s="52">
        <v>8129</v>
      </c>
      <c r="B281" s="12" t="s">
        <v>188</v>
      </c>
      <c r="C281" s="12" t="s">
        <v>398</v>
      </c>
      <c r="D281" s="12" t="s">
        <v>664</v>
      </c>
      <c r="E281" s="12">
        <v>0</v>
      </c>
      <c r="F281" s="12">
        <v>0</v>
      </c>
      <c r="G281" s="12">
        <v>100</v>
      </c>
      <c r="H281" s="12">
        <v>0</v>
      </c>
      <c r="I281" s="12" t="s">
        <v>401</v>
      </c>
      <c r="J281" s="12">
        <v>57.7656</v>
      </c>
      <c r="K281" s="12">
        <v>1</v>
      </c>
      <c r="L281" s="11">
        <f t="shared" si="17"/>
        <v>8129</v>
      </c>
      <c r="M281" s="57" t="s">
        <v>918</v>
      </c>
      <c r="N281" s="110">
        <v>1198</v>
      </c>
      <c r="O281" s="57">
        <v>1200</v>
      </c>
      <c r="P281" s="58">
        <v>40255.645833333336</v>
      </c>
      <c r="Q281" s="59">
        <v>74582502</v>
      </c>
      <c r="R281" s="4">
        <f t="shared" si="15"/>
        <v>37736367725.17623</v>
      </c>
      <c r="S281" s="4">
        <f t="shared" si="15"/>
        <v>0</v>
      </c>
      <c r="T281" s="4">
        <f t="shared" si="16"/>
        <v>37799366669.6256</v>
      </c>
      <c r="U281" s="4">
        <f t="shared" si="16"/>
        <v>0</v>
      </c>
      <c r="V281" s="4"/>
    </row>
    <row r="282" spans="1:22" ht="15.75">
      <c r="A282" s="52">
        <v>8130</v>
      </c>
      <c r="B282" s="12" t="s">
        <v>877</v>
      </c>
      <c r="C282" s="12" t="s">
        <v>398</v>
      </c>
      <c r="D282" s="12" t="s">
        <v>664</v>
      </c>
      <c r="E282" s="12">
        <v>0</v>
      </c>
      <c r="F282" s="12">
        <v>0</v>
      </c>
      <c r="G282" s="12">
        <v>100</v>
      </c>
      <c r="H282" s="12">
        <v>0</v>
      </c>
      <c r="I282" s="12" t="s">
        <v>401</v>
      </c>
      <c r="J282" s="12">
        <v>41.492</v>
      </c>
      <c r="K282" s="12">
        <v>1</v>
      </c>
      <c r="L282" s="11">
        <f t="shared" si="17"/>
        <v>8130</v>
      </c>
      <c r="M282" s="57" t="s">
        <v>918</v>
      </c>
      <c r="N282" s="110">
        <v>2073</v>
      </c>
      <c r="O282" s="57">
        <v>2072</v>
      </c>
      <c r="P282" s="58">
        <v>40255.645833333336</v>
      </c>
      <c r="Q282" s="59">
        <v>42188240</v>
      </c>
      <c r="R282" s="4">
        <f t="shared" si="15"/>
        <v>51168886086.9216</v>
      </c>
      <c r="S282" s="4">
        <f t="shared" si="15"/>
        <v>0</v>
      </c>
      <c r="T282" s="4">
        <f t="shared" si="16"/>
        <v>51144202591.4624</v>
      </c>
      <c r="U282" s="4">
        <f t="shared" si="16"/>
        <v>0</v>
      </c>
      <c r="V282" s="4"/>
    </row>
    <row r="283" spans="1:22" ht="15.75">
      <c r="A283" s="52">
        <v>8136</v>
      </c>
      <c r="B283" s="12" t="s">
        <v>189</v>
      </c>
      <c r="C283" s="12" t="s">
        <v>398</v>
      </c>
      <c r="D283" s="12" t="s">
        <v>664</v>
      </c>
      <c r="E283" s="12">
        <v>0</v>
      </c>
      <c r="F283" s="12">
        <v>0</v>
      </c>
      <c r="G283" s="12">
        <v>0</v>
      </c>
      <c r="H283" s="12">
        <v>100</v>
      </c>
      <c r="I283" s="12" t="s">
        <v>401</v>
      </c>
      <c r="J283" s="12">
        <v>62.8813</v>
      </c>
      <c r="K283" s="12">
        <v>1</v>
      </c>
      <c r="L283" s="11">
        <f t="shared" si="17"/>
        <v>8136</v>
      </c>
      <c r="M283" s="57" t="s">
        <v>918</v>
      </c>
      <c r="N283" s="110">
        <v>854</v>
      </c>
      <c r="O283" s="57">
        <v>831</v>
      </c>
      <c r="P283" s="58">
        <v>40255.645833333336</v>
      </c>
      <c r="Q283" s="59">
        <v>88148431</v>
      </c>
      <c r="R283" s="4">
        <f t="shared" si="15"/>
        <v>0</v>
      </c>
      <c r="S283" s="4">
        <f t="shared" si="15"/>
        <v>27942497115.587837</v>
      </c>
      <c r="T283" s="4">
        <f t="shared" si="16"/>
        <v>0</v>
      </c>
      <c r="U283" s="4">
        <f t="shared" si="16"/>
        <v>27189947427.463108</v>
      </c>
      <c r="V283" s="4"/>
    </row>
    <row r="284" spans="1:22" ht="15.75">
      <c r="A284" s="52">
        <v>8140</v>
      </c>
      <c r="B284" s="12" t="s">
        <v>878</v>
      </c>
      <c r="C284" s="12" t="s">
        <v>398</v>
      </c>
      <c r="D284" s="12" t="s">
        <v>664</v>
      </c>
      <c r="E284" s="12">
        <v>0</v>
      </c>
      <c r="F284" s="12">
        <v>0</v>
      </c>
      <c r="G284" s="12">
        <v>100</v>
      </c>
      <c r="H284" s="12">
        <v>0</v>
      </c>
      <c r="I284" s="12" t="s">
        <v>401</v>
      </c>
      <c r="J284" s="12">
        <v>16.5823</v>
      </c>
      <c r="K284" s="12">
        <v>1</v>
      </c>
      <c r="L284" s="11">
        <f t="shared" si="17"/>
        <v>8140</v>
      </c>
      <c r="M284" s="57" t="s">
        <v>918</v>
      </c>
      <c r="N284" s="110">
        <v>2209</v>
      </c>
      <c r="O284" s="57">
        <v>2208</v>
      </c>
      <c r="P284" s="58">
        <v>40255.645833333336</v>
      </c>
      <c r="Q284" s="59">
        <v>34500000</v>
      </c>
      <c r="R284" s="4">
        <f t="shared" si="15"/>
        <v>63573046258.5</v>
      </c>
      <c r="S284" s="4">
        <f t="shared" si="15"/>
        <v>0</v>
      </c>
      <c r="T284" s="4">
        <f t="shared" si="16"/>
        <v>63544267152</v>
      </c>
      <c r="U284" s="4">
        <f t="shared" si="16"/>
        <v>0</v>
      </c>
      <c r="V284" s="4"/>
    </row>
    <row r="285" spans="1:22" ht="15.75">
      <c r="A285" s="52">
        <v>8153</v>
      </c>
      <c r="B285" s="12" t="s">
        <v>190</v>
      </c>
      <c r="C285" s="12" t="s">
        <v>398</v>
      </c>
      <c r="D285" s="12" t="s">
        <v>664</v>
      </c>
      <c r="E285" s="12">
        <v>0</v>
      </c>
      <c r="F285" s="12">
        <v>0</v>
      </c>
      <c r="G285" s="12">
        <v>14.7592</v>
      </c>
      <c r="H285" s="12">
        <v>85.2408</v>
      </c>
      <c r="I285" s="12" t="s">
        <v>401</v>
      </c>
      <c r="J285" s="12">
        <v>30.336</v>
      </c>
      <c r="K285" s="12">
        <v>1</v>
      </c>
      <c r="L285" s="11">
        <f t="shared" si="17"/>
        <v>8153</v>
      </c>
      <c r="M285" s="57" t="s">
        <v>918</v>
      </c>
      <c r="N285" s="110">
        <v>1561</v>
      </c>
      <c r="O285" s="57">
        <v>1561</v>
      </c>
      <c r="P285" s="58">
        <v>40255.645833333336</v>
      </c>
      <c r="Q285" s="59">
        <v>32009910</v>
      </c>
      <c r="R285" s="4">
        <f t="shared" si="15"/>
        <v>5137579808.110613</v>
      </c>
      <c r="S285" s="4">
        <f t="shared" si="15"/>
        <v>29671758151.33579</v>
      </c>
      <c r="T285" s="4">
        <f t="shared" si="16"/>
        <v>5137579808.110613</v>
      </c>
      <c r="U285" s="4">
        <f t="shared" si="16"/>
        <v>29671758151.33579</v>
      </c>
      <c r="V285" s="4"/>
    </row>
    <row r="286" spans="1:22" ht="15.75">
      <c r="A286" s="52">
        <v>8160</v>
      </c>
      <c r="B286" s="12" t="s">
        <v>191</v>
      </c>
      <c r="C286" s="12" t="s">
        <v>398</v>
      </c>
      <c r="D286" s="12" t="s">
        <v>370</v>
      </c>
      <c r="E286" s="12">
        <v>0</v>
      </c>
      <c r="F286" s="12">
        <v>0</v>
      </c>
      <c r="G286" s="12">
        <v>0</v>
      </c>
      <c r="H286" s="12">
        <v>100</v>
      </c>
      <c r="I286" s="12" t="s">
        <v>401</v>
      </c>
      <c r="J286" s="12">
        <v>39.2087</v>
      </c>
      <c r="K286" s="12">
        <v>1</v>
      </c>
      <c r="L286" s="11">
        <f t="shared" si="17"/>
        <v>8160</v>
      </c>
      <c r="M286" s="57" t="s">
        <v>918</v>
      </c>
      <c r="N286" s="110">
        <v>1934</v>
      </c>
      <c r="O286" s="57">
        <v>1943</v>
      </c>
      <c r="P286" s="58">
        <v>40255.645833333336</v>
      </c>
      <c r="Q286" s="59">
        <v>25913889</v>
      </c>
      <c r="R286" s="4">
        <f t="shared" si="15"/>
        <v>0</v>
      </c>
      <c r="S286" s="4">
        <f t="shared" si="15"/>
        <v>30467056267.072636</v>
      </c>
      <c r="T286" s="4">
        <f t="shared" si="16"/>
        <v>0</v>
      </c>
      <c r="U286" s="4">
        <f t="shared" si="16"/>
        <v>30608836777.10555</v>
      </c>
      <c r="V286" s="4"/>
    </row>
    <row r="287" spans="1:22" ht="15.75">
      <c r="A287" s="52">
        <v>8174</v>
      </c>
      <c r="B287" s="12" t="s">
        <v>192</v>
      </c>
      <c r="C287" s="12" t="s">
        <v>398</v>
      </c>
      <c r="D287" s="12" t="s">
        <v>370</v>
      </c>
      <c r="E287" s="12">
        <v>0</v>
      </c>
      <c r="F287" s="12">
        <v>0</v>
      </c>
      <c r="G287" s="12">
        <v>0</v>
      </c>
      <c r="H287" s="12">
        <v>100</v>
      </c>
      <c r="I287" s="12" t="s">
        <v>401</v>
      </c>
      <c r="J287" s="12">
        <v>51.2133</v>
      </c>
      <c r="K287" s="12">
        <v>1</v>
      </c>
      <c r="L287" s="11">
        <f t="shared" si="17"/>
        <v>8174</v>
      </c>
      <c r="M287" s="57" t="s">
        <v>918</v>
      </c>
      <c r="N287" s="110">
        <v>1281</v>
      </c>
      <c r="O287" s="57">
        <v>1293</v>
      </c>
      <c r="P287" s="58">
        <v>40255.645833333336</v>
      </c>
      <c r="Q287" s="59">
        <v>44961525</v>
      </c>
      <c r="R287" s="4">
        <f t="shared" si="15"/>
        <v>0</v>
      </c>
      <c r="S287" s="4">
        <f t="shared" si="15"/>
        <v>28099047970.301178</v>
      </c>
      <c r="T287" s="4">
        <f t="shared" si="16"/>
        <v>0</v>
      </c>
      <c r="U287" s="4">
        <f t="shared" si="16"/>
        <v>28362270902.107273</v>
      </c>
      <c r="V287" s="4"/>
    </row>
    <row r="288" spans="1:22" ht="15.75">
      <c r="A288" s="52">
        <v>8218</v>
      </c>
      <c r="B288" s="12" t="s">
        <v>879</v>
      </c>
      <c r="C288" s="12" t="s">
        <v>398</v>
      </c>
      <c r="D288" s="12" t="s">
        <v>370</v>
      </c>
      <c r="E288" s="12">
        <v>0</v>
      </c>
      <c r="F288" s="12">
        <v>0</v>
      </c>
      <c r="G288" s="12">
        <v>18.1251</v>
      </c>
      <c r="H288" s="12">
        <v>81.8749</v>
      </c>
      <c r="I288" s="12" t="s">
        <v>401</v>
      </c>
      <c r="J288" s="12">
        <v>47.4459</v>
      </c>
      <c r="K288" s="12">
        <v>1</v>
      </c>
      <c r="L288" s="11">
        <f t="shared" si="17"/>
        <v>8218</v>
      </c>
      <c r="M288" s="57" t="s">
        <v>918</v>
      </c>
      <c r="N288" s="110">
        <v>2408</v>
      </c>
      <c r="O288" s="57">
        <v>2405</v>
      </c>
      <c r="P288" s="58">
        <v>40255.645833333336</v>
      </c>
      <c r="Q288" s="59">
        <v>54409168</v>
      </c>
      <c r="R288" s="4">
        <f t="shared" si="15"/>
        <v>12480028638.913649</v>
      </c>
      <c r="S288" s="4">
        <f t="shared" si="15"/>
        <v>56374921893.29665</v>
      </c>
      <c r="T288" s="4">
        <f t="shared" si="16"/>
        <v>12464480430.476463</v>
      </c>
      <c r="U288" s="4">
        <f t="shared" si="16"/>
        <v>56304687356.05418</v>
      </c>
      <c r="V288" s="4"/>
    </row>
    <row r="289" spans="1:22" ht="15.75">
      <c r="A289" s="52">
        <v>8219</v>
      </c>
      <c r="B289" s="12" t="s">
        <v>880</v>
      </c>
      <c r="C289" s="12" t="s">
        <v>404</v>
      </c>
      <c r="D289" s="12" t="s">
        <v>370</v>
      </c>
      <c r="E289" s="12">
        <v>0</v>
      </c>
      <c r="F289" s="12">
        <v>0</v>
      </c>
      <c r="G289" s="12">
        <v>100</v>
      </c>
      <c r="H289" s="12">
        <v>0</v>
      </c>
      <c r="I289" s="12" t="s">
        <v>401</v>
      </c>
      <c r="J289" s="12">
        <v>18.9728</v>
      </c>
      <c r="K289" s="12">
        <v>1</v>
      </c>
      <c r="L289" s="11">
        <f t="shared" si="17"/>
        <v>8219</v>
      </c>
      <c r="M289" s="57" t="s">
        <v>919</v>
      </c>
      <c r="N289" s="110">
        <v>1584</v>
      </c>
      <c r="O289" s="57">
        <v>1557</v>
      </c>
      <c r="P289" s="58">
        <v>40255.645833333336</v>
      </c>
      <c r="Q289" s="59">
        <v>67394016</v>
      </c>
      <c r="R289" s="4">
        <f t="shared" si="15"/>
        <v>86498254865.64557</v>
      </c>
      <c r="S289" s="4">
        <f t="shared" si="15"/>
        <v>0</v>
      </c>
      <c r="T289" s="4">
        <f t="shared" si="16"/>
        <v>85023852794.07207</v>
      </c>
      <c r="U289" s="4">
        <f t="shared" si="16"/>
        <v>0</v>
      </c>
      <c r="V289" s="4"/>
    </row>
    <row r="290" spans="1:22" ht="15.75">
      <c r="A290" s="52">
        <v>8242</v>
      </c>
      <c r="B290" s="12" t="s">
        <v>881</v>
      </c>
      <c r="C290" s="12" t="s">
        <v>398</v>
      </c>
      <c r="D290" s="12" t="s">
        <v>370</v>
      </c>
      <c r="E290" s="12">
        <v>0</v>
      </c>
      <c r="F290" s="12">
        <v>0</v>
      </c>
      <c r="G290" s="12">
        <v>100</v>
      </c>
      <c r="H290" s="12">
        <v>0</v>
      </c>
      <c r="I290" s="12" t="s">
        <v>401</v>
      </c>
      <c r="J290" s="12">
        <v>47.0783</v>
      </c>
      <c r="K290" s="12">
        <v>1</v>
      </c>
      <c r="L290" s="11">
        <f t="shared" si="17"/>
        <v>8242</v>
      </c>
      <c r="M290" s="57" t="s">
        <v>918</v>
      </c>
      <c r="N290" s="110">
        <v>649</v>
      </c>
      <c r="O290" s="57">
        <v>646</v>
      </c>
      <c r="P290" s="58">
        <v>40255.645833333336</v>
      </c>
      <c r="Q290" s="59">
        <v>206740777</v>
      </c>
      <c r="R290" s="4">
        <f t="shared" si="15"/>
        <v>71007566224.26424</v>
      </c>
      <c r="S290" s="4">
        <f t="shared" si="15"/>
        <v>0</v>
      </c>
      <c r="T290" s="4">
        <f t="shared" si="16"/>
        <v>70679334022.91942</v>
      </c>
      <c r="U290" s="4">
        <f t="shared" si="16"/>
        <v>0</v>
      </c>
      <c r="V290" s="4"/>
    </row>
    <row r="291" spans="1:22" ht="15.75">
      <c r="A291" s="52">
        <v>8251</v>
      </c>
      <c r="B291" s="12" t="s">
        <v>882</v>
      </c>
      <c r="C291" s="12" t="s">
        <v>398</v>
      </c>
      <c r="D291" s="12" t="s">
        <v>370</v>
      </c>
      <c r="E291" s="12">
        <v>0</v>
      </c>
      <c r="F291" s="12">
        <v>0</v>
      </c>
      <c r="G291" s="12">
        <v>100</v>
      </c>
      <c r="H291" s="12">
        <v>0</v>
      </c>
      <c r="I291" s="12" t="s">
        <v>401</v>
      </c>
      <c r="J291" s="12">
        <v>47.3158</v>
      </c>
      <c r="K291" s="12">
        <v>1</v>
      </c>
      <c r="L291" s="11">
        <f t="shared" si="17"/>
        <v>8251</v>
      </c>
      <c r="M291" s="57" t="s">
        <v>918</v>
      </c>
      <c r="N291" s="110">
        <v>784</v>
      </c>
      <c r="O291" s="57">
        <v>780</v>
      </c>
      <c r="P291" s="58">
        <v>40255.645833333336</v>
      </c>
      <c r="Q291" s="59">
        <v>82475677</v>
      </c>
      <c r="R291" s="4">
        <f t="shared" si="15"/>
        <v>34066094087.674656</v>
      </c>
      <c r="S291" s="4">
        <f t="shared" si="15"/>
        <v>0</v>
      </c>
      <c r="T291" s="4">
        <f t="shared" si="16"/>
        <v>33892287485.18652</v>
      </c>
      <c r="U291" s="4">
        <f t="shared" si="16"/>
        <v>0</v>
      </c>
      <c r="V291" s="4"/>
    </row>
    <row r="292" spans="1:22" ht="15.75">
      <c r="A292" s="52">
        <v>8266</v>
      </c>
      <c r="B292" s="12" t="s">
        <v>1178</v>
      </c>
      <c r="C292" s="12" t="s">
        <v>398</v>
      </c>
      <c r="D292" s="12" t="s">
        <v>370</v>
      </c>
      <c r="E292" s="12">
        <v>0</v>
      </c>
      <c r="F292" s="12">
        <v>0</v>
      </c>
      <c r="G292" s="12">
        <v>100</v>
      </c>
      <c r="H292" s="12">
        <v>0</v>
      </c>
      <c r="I292" s="12" t="s">
        <v>401</v>
      </c>
      <c r="J292" s="12">
        <v>29.963</v>
      </c>
      <c r="K292" s="12">
        <v>1</v>
      </c>
      <c r="L292" s="11">
        <f t="shared" si="17"/>
        <v>8266</v>
      </c>
      <c r="M292" s="57" t="s">
        <v>918</v>
      </c>
      <c r="N292" s="110">
        <v>402</v>
      </c>
      <c r="O292" s="57">
        <v>407</v>
      </c>
      <c r="P292" s="58">
        <v>40255.645833333336</v>
      </c>
      <c r="Q292" s="59">
        <v>85291365</v>
      </c>
      <c r="R292" s="4">
        <f t="shared" si="15"/>
        <v>24013676348.630104</v>
      </c>
      <c r="S292" s="4">
        <f t="shared" si="15"/>
        <v>0</v>
      </c>
      <c r="T292" s="4">
        <f t="shared" si="16"/>
        <v>24312353915.155354</v>
      </c>
      <c r="U292" s="4">
        <f t="shared" si="16"/>
        <v>0</v>
      </c>
      <c r="V292" s="4"/>
    </row>
    <row r="293" spans="1:22" ht="15.75">
      <c r="A293" s="52">
        <v>8273</v>
      </c>
      <c r="B293" s="12" t="s">
        <v>883</v>
      </c>
      <c r="C293" s="12" t="s">
        <v>398</v>
      </c>
      <c r="D293" s="12" t="s">
        <v>370</v>
      </c>
      <c r="E293" s="12">
        <v>0</v>
      </c>
      <c r="F293" s="12">
        <v>0</v>
      </c>
      <c r="G293" s="12">
        <v>57.6348</v>
      </c>
      <c r="H293" s="12">
        <v>42.3652</v>
      </c>
      <c r="I293" s="12" t="s">
        <v>401</v>
      </c>
      <c r="J293" s="12">
        <v>68.2178</v>
      </c>
      <c r="K293" s="12">
        <v>1</v>
      </c>
      <c r="L293" s="11">
        <f t="shared" si="17"/>
        <v>8273</v>
      </c>
      <c r="M293" s="57" t="s">
        <v>918</v>
      </c>
      <c r="N293" s="110">
        <v>1119</v>
      </c>
      <c r="O293" s="57">
        <v>1132</v>
      </c>
      <c r="P293" s="58">
        <v>40255.645833333336</v>
      </c>
      <c r="Q293" s="59">
        <v>123117420</v>
      </c>
      <c r="R293" s="4">
        <f t="shared" si="15"/>
        <v>25235873355.08059</v>
      </c>
      <c r="S293" s="4">
        <f t="shared" si="15"/>
        <v>18549952838.60897</v>
      </c>
      <c r="T293" s="4">
        <f t="shared" si="16"/>
        <v>25529051508.44614</v>
      </c>
      <c r="U293" s="4">
        <f t="shared" si="16"/>
        <v>18765457205.81354</v>
      </c>
      <c r="V293" s="4"/>
    </row>
    <row r="294" spans="1:22" ht="15.75">
      <c r="A294" s="52">
        <v>8276</v>
      </c>
      <c r="B294" s="12" t="s">
        <v>193</v>
      </c>
      <c r="C294" s="12" t="s">
        <v>398</v>
      </c>
      <c r="D294" s="12" t="s">
        <v>370</v>
      </c>
      <c r="E294" s="12">
        <v>0</v>
      </c>
      <c r="F294" s="12">
        <v>0</v>
      </c>
      <c r="G294" s="12">
        <v>100</v>
      </c>
      <c r="H294" s="12">
        <v>0</v>
      </c>
      <c r="I294" s="12" t="s">
        <v>401</v>
      </c>
      <c r="J294" s="12">
        <v>61.8324</v>
      </c>
      <c r="K294" s="12">
        <v>1</v>
      </c>
      <c r="L294" s="11">
        <f t="shared" si="17"/>
        <v>8276</v>
      </c>
      <c r="M294" s="57" t="s">
        <v>918</v>
      </c>
      <c r="N294" s="110">
        <v>1140</v>
      </c>
      <c r="O294" s="57">
        <v>1141</v>
      </c>
      <c r="P294" s="58">
        <v>40255.645833333336</v>
      </c>
      <c r="Q294" s="59">
        <v>58546470</v>
      </c>
      <c r="R294" s="4">
        <f t="shared" si="15"/>
        <v>25474192031.440804</v>
      </c>
      <c r="S294" s="4">
        <f t="shared" si="15"/>
        <v>0</v>
      </c>
      <c r="T294" s="4">
        <f t="shared" si="16"/>
        <v>25496537813.924522</v>
      </c>
      <c r="U294" s="4">
        <f t="shared" si="16"/>
        <v>0</v>
      </c>
      <c r="V294" s="4"/>
    </row>
    <row r="295" spans="1:22" ht="15.75">
      <c r="A295" s="52">
        <v>8278</v>
      </c>
      <c r="B295" s="12" t="s">
        <v>194</v>
      </c>
      <c r="C295" s="12" t="s">
        <v>398</v>
      </c>
      <c r="D295" s="12" t="s">
        <v>370</v>
      </c>
      <c r="E295" s="12">
        <v>0</v>
      </c>
      <c r="F295" s="12">
        <v>0</v>
      </c>
      <c r="G295" s="12">
        <v>77.8321</v>
      </c>
      <c r="H295" s="12">
        <v>22.1679</v>
      </c>
      <c r="I295" s="12" t="s">
        <v>401</v>
      </c>
      <c r="J295" s="12">
        <v>59.4023</v>
      </c>
      <c r="K295" s="12">
        <v>1</v>
      </c>
      <c r="L295" s="11">
        <f t="shared" si="17"/>
        <v>8278</v>
      </c>
      <c r="M295" s="57" t="s">
        <v>918</v>
      </c>
      <c r="N295" s="110">
        <v>1744</v>
      </c>
      <c r="O295" s="57">
        <v>1754</v>
      </c>
      <c r="P295" s="58">
        <v>40255.645833333336</v>
      </c>
      <c r="Q295" s="59">
        <v>35300560</v>
      </c>
      <c r="R295" s="4">
        <f t="shared" si="15"/>
        <v>19453074675.903194</v>
      </c>
      <c r="S295" s="4">
        <f t="shared" si="15"/>
        <v>5540565063.874088</v>
      </c>
      <c r="T295" s="4">
        <f t="shared" si="16"/>
        <v>19564617535.28337</v>
      </c>
      <c r="U295" s="4">
        <f t="shared" si="16"/>
        <v>5572334358.96511</v>
      </c>
      <c r="V295" s="4"/>
    </row>
    <row r="296" spans="1:22" ht="15.75">
      <c r="A296" s="52">
        <v>8281</v>
      </c>
      <c r="B296" s="12" t="s">
        <v>884</v>
      </c>
      <c r="C296" s="12" t="s">
        <v>398</v>
      </c>
      <c r="D296" s="12" t="s">
        <v>370</v>
      </c>
      <c r="E296" s="12">
        <v>0</v>
      </c>
      <c r="F296" s="12">
        <v>0</v>
      </c>
      <c r="G296" s="12">
        <v>90.8131</v>
      </c>
      <c r="H296" s="12">
        <v>9.1869</v>
      </c>
      <c r="I296" s="12" t="s">
        <v>401</v>
      </c>
      <c r="J296" s="12">
        <v>52.5038</v>
      </c>
      <c r="K296" s="12">
        <v>1</v>
      </c>
      <c r="L296" s="11">
        <f t="shared" si="17"/>
        <v>8281</v>
      </c>
      <c r="M296" s="57" t="s">
        <v>918</v>
      </c>
      <c r="N296" s="110">
        <v>1846</v>
      </c>
      <c r="O296" s="57">
        <v>1818</v>
      </c>
      <c r="P296" s="58">
        <v>40255.645833333336</v>
      </c>
      <c r="Q296" s="59">
        <v>47911023</v>
      </c>
      <c r="R296" s="4">
        <f t="shared" si="15"/>
        <v>38148240018.81342</v>
      </c>
      <c r="S296" s="4">
        <f t="shared" si="15"/>
        <v>3859179636.2951717</v>
      </c>
      <c r="T296" s="4">
        <f t="shared" si="16"/>
        <v>37569610159.37313</v>
      </c>
      <c r="U296" s="4">
        <f t="shared" si="16"/>
        <v>3800643867.163934</v>
      </c>
      <c r="V296" s="4"/>
    </row>
    <row r="297" spans="1:22" ht="15.75">
      <c r="A297" s="52">
        <v>8304</v>
      </c>
      <c r="B297" s="12" t="s">
        <v>1179</v>
      </c>
      <c r="C297" s="12" t="s">
        <v>398</v>
      </c>
      <c r="D297" s="12" t="s">
        <v>885</v>
      </c>
      <c r="E297" s="12">
        <v>0</v>
      </c>
      <c r="F297" s="12">
        <v>0</v>
      </c>
      <c r="G297" s="12">
        <v>100</v>
      </c>
      <c r="H297" s="12">
        <v>0</v>
      </c>
      <c r="I297" s="12" t="s">
        <v>401</v>
      </c>
      <c r="J297" s="12">
        <v>62.2287</v>
      </c>
      <c r="K297" s="12">
        <v>1</v>
      </c>
      <c r="L297" s="11">
        <f t="shared" si="17"/>
        <v>8304</v>
      </c>
      <c r="M297" s="57" t="s">
        <v>918</v>
      </c>
      <c r="N297" s="110">
        <v>137</v>
      </c>
      <c r="O297" s="57">
        <v>139</v>
      </c>
      <c r="P297" s="58">
        <v>40255.645833333336</v>
      </c>
      <c r="Q297" s="59">
        <v>1650147352</v>
      </c>
      <c r="R297" s="4">
        <f t="shared" si="15"/>
        <v>85389648626.9387</v>
      </c>
      <c r="S297" s="4">
        <f t="shared" si="15"/>
        <v>0</v>
      </c>
      <c r="T297" s="4">
        <f t="shared" si="16"/>
        <v>86636212840.47066</v>
      </c>
      <c r="U297" s="4">
        <f t="shared" si="16"/>
        <v>0</v>
      </c>
      <c r="V297" s="4"/>
    </row>
    <row r="298" spans="1:22" ht="15.75">
      <c r="A298" s="52">
        <v>8324</v>
      </c>
      <c r="B298" s="12" t="s">
        <v>886</v>
      </c>
      <c r="C298" s="12" t="s">
        <v>398</v>
      </c>
      <c r="D298" s="12" t="s">
        <v>885</v>
      </c>
      <c r="E298" s="12">
        <v>0</v>
      </c>
      <c r="F298" s="12">
        <v>0</v>
      </c>
      <c r="G298" s="12">
        <v>100</v>
      </c>
      <c r="H298" s="12">
        <v>0</v>
      </c>
      <c r="I298" s="12" t="s">
        <v>401</v>
      </c>
      <c r="J298" s="12">
        <v>37.3128</v>
      </c>
      <c r="K298" s="12">
        <v>1</v>
      </c>
      <c r="L298" s="11">
        <f t="shared" si="17"/>
        <v>8324</v>
      </c>
      <c r="M298" s="57" t="s">
        <v>918</v>
      </c>
      <c r="N298" s="110">
        <v>309</v>
      </c>
      <c r="O298" s="57">
        <v>310</v>
      </c>
      <c r="P298" s="58">
        <v>40255.645833333336</v>
      </c>
      <c r="Q298" s="59">
        <v>370079472</v>
      </c>
      <c r="R298" s="4">
        <f t="shared" si="15"/>
        <v>71685669760.41945</v>
      </c>
      <c r="S298" s="4">
        <f t="shared" si="15"/>
        <v>0</v>
      </c>
      <c r="T298" s="4">
        <f t="shared" si="16"/>
        <v>71917662219.19102</v>
      </c>
      <c r="U298" s="4">
        <f t="shared" si="16"/>
        <v>0</v>
      </c>
      <c r="V298" s="4"/>
    </row>
    <row r="299" spans="1:22" ht="15.75">
      <c r="A299" s="52">
        <v>8325</v>
      </c>
      <c r="B299" s="12" t="s">
        <v>1180</v>
      </c>
      <c r="C299" s="12" t="s">
        <v>398</v>
      </c>
      <c r="D299" s="12" t="s">
        <v>885</v>
      </c>
      <c r="E299" s="12">
        <v>0</v>
      </c>
      <c r="F299" s="12">
        <v>0</v>
      </c>
      <c r="G299" s="12">
        <v>100</v>
      </c>
      <c r="H299" s="12">
        <v>0</v>
      </c>
      <c r="I299" s="12" t="s">
        <v>401</v>
      </c>
      <c r="J299" s="12">
        <v>39.8142</v>
      </c>
      <c r="K299" s="12">
        <v>1</v>
      </c>
      <c r="L299" s="11">
        <f t="shared" si="17"/>
        <v>8325</v>
      </c>
      <c r="M299" s="57" t="s">
        <v>918</v>
      </c>
      <c r="N299" s="110">
        <v>149</v>
      </c>
      <c r="O299" s="57">
        <v>150</v>
      </c>
      <c r="P299" s="58">
        <v>40255.645833333336</v>
      </c>
      <c r="Q299" s="59">
        <v>254062804</v>
      </c>
      <c r="R299" s="4">
        <f t="shared" si="15"/>
        <v>22783549932.384968</v>
      </c>
      <c r="S299" s="4">
        <f t="shared" si="15"/>
        <v>0</v>
      </c>
      <c r="T299" s="4">
        <f t="shared" si="16"/>
        <v>22936459663.4748</v>
      </c>
      <c r="U299" s="4">
        <f t="shared" si="16"/>
        <v>0</v>
      </c>
      <c r="V299" s="4"/>
    </row>
    <row r="300" spans="1:22" ht="15.75">
      <c r="A300" s="52">
        <v>8328</v>
      </c>
      <c r="B300" s="12" t="s">
        <v>195</v>
      </c>
      <c r="C300" s="12" t="s">
        <v>398</v>
      </c>
      <c r="D300" s="12" t="s">
        <v>885</v>
      </c>
      <c r="E300" s="12">
        <v>0</v>
      </c>
      <c r="F300" s="12">
        <v>0</v>
      </c>
      <c r="G300" s="12">
        <v>100</v>
      </c>
      <c r="H300" s="12">
        <v>0</v>
      </c>
      <c r="I300" s="12" t="s">
        <v>401</v>
      </c>
      <c r="J300" s="12">
        <v>38.2362</v>
      </c>
      <c r="K300" s="12">
        <v>1</v>
      </c>
      <c r="L300" s="11">
        <f t="shared" si="17"/>
        <v>8328</v>
      </c>
      <c r="M300" s="57" t="s">
        <v>918</v>
      </c>
      <c r="N300" s="110">
        <v>386</v>
      </c>
      <c r="O300" s="57">
        <v>388</v>
      </c>
      <c r="P300" s="58">
        <v>40255.645833333336</v>
      </c>
      <c r="Q300" s="59">
        <v>399406530</v>
      </c>
      <c r="R300" s="4">
        <f t="shared" si="15"/>
        <v>95221819045.19005</v>
      </c>
      <c r="S300" s="4">
        <f t="shared" si="15"/>
        <v>0</v>
      </c>
      <c r="T300" s="4">
        <f t="shared" si="16"/>
        <v>95715196345.9423</v>
      </c>
      <c r="U300" s="4">
        <f t="shared" si="16"/>
        <v>0</v>
      </c>
      <c r="V300" s="4"/>
    </row>
    <row r="301" spans="1:22" ht="15.75">
      <c r="A301" s="52">
        <v>8336</v>
      </c>
      <c r="B301" s="12" t="s">
        <v>887</v>
      </c>
      <c r="C301" s="12" t="s">
        <v>398</v>
      </c>
      <c r="D301" s="12" t="s">
        <v>885</v>
      </c>
      <c r="E301" s="12">
        <v>0</v>
      </c>
      <c r="F301" s="12">
        <v>0</v>
      </c>
      <c r="G301" s="12">
        <v>100</v>
      </c>
      <c r="H301" s="12">
        <v>0</v>
      </c>
      <c r="I301" s="12" t="s">
        <v>401</v>
      </c>
      <c r="J301" s="12">
        <v>20.2152</v>
      </c>
      <c r="K301" s="12">
        <v>1</v>
      </c>
      <c r="L301" s="11">
        <f t="shared" si="17"/>
        <v>8336</v>
      </c>
      <c r="M301" s="57" t="s">
        <v>918</v>
      </c>
      <c r="N301" s="110">
        <v>2502</v>
      </c>
      <c r="O301" s="57">
        <v>2539</v>
      </c>
      <c r="P301" s="58">
        <v>40255.645833333336</v>
      </c>
      <c r="Q301" s="59">
        <v>34455456</v>
      </c>
      <c r="R301" s="4">
        <f t="shared" si="15"/>
        <v>68780522080.03737</v>
      </c>
      <c r="S301" s="4">
        <f t="shared" si="15"/>
        <v>0</v>
      </c>
      <c r="T301" s="4">
        <f t="shared" si="16"/>
        <v>69797660096.40884</v>
      </c>
      <c r="U301" s="4">
        <f t="shared" si="16"/>
        <v>0</v>
      </c>
      <c r="V301" s="4"/>
    </row>
    <row r="302" spans="1:22" ht="15.75">
      <c r="A302" s="52">
        <v>8339</v>
      </c>
      <c r="B302" s="12" t="s">
        <v>888</v>
      </c>
      <c r="C302" s="12" t="s">
        <v>398</v>
      </c>
      <c r="D302" s="12" t="s">
        <v>885</v>
      </c>
      <c r="E302" s="12">
        <v>0</v>
      </c>
      <c r="F302" s="12">
        <v>0</v>
      </c>
      <c r="G302" s="12">
        <v>100</v>
      </c>
      <c r="H302" s="12">
        <v>0</v>
      </c>
      <c r="I302" s="12" t="s">
        <v>401</v>
      </c>
      <c r="J302" s="12">
        <v>37.8702</v>
      </c>
      <c r="K302" s="12">
        <v>1</v>
      </c>
      <c r="L302" s="11">
        <f t="shared" si="17"/>
        <v>8339</v>
      </c>
      <c r="M302" s="57" t="s">
        <v>918</v>
      </c>
      <c r="N302" s="110">
        <v>1245</v>
      </c>
      <c r="O302" s="57">
        <v>1246</v>
      </c>
      <c r="P302" s="58">
        <v>40255.645833333336</v>
      </c>
      <c r="Q302" s="59">
        <v>40050527</v>
      </c>
      <c r="R302" s="4">
        <f t="shared" si="15"/>
        <v>30979723843.437275</v>
      </c>
      <c r="S302" s="4">
        <f t="shared" si="15"/>
        <v>0</v>
      </c>
      <c r="T302" s="4">
        <f t="shared" si="16"/>
        <v>31004607155.76132</v>
      </c>
      <c r="U302" s="4">
        <f t="shared" si="16"/>
        <v>0</v>
      </c>
      <c r="V302" s="4"/>
    </row>
    <row r="303" spans="1:22" ht="15.75">
      <c r="A303" s="52">
        <v>8342</v>
      </c>
      <c r="B303" s="12" t="s">
        <v>889</v>
      </c>
      <c r="C303" s="12" t="s">
        <v>398</v>
      </c>
      <c r="D303" s="12" t="s">
        <v>885</v>
      </c>
      <c r="E303" s="12">
        <v>0</v>
      </c>
      <c r="F303" s="12">
        <v>0</v>
      </c>
      <c r="G303" s="12">
        <v>100</v>
      </c>
      <c r="H303" s="12">
        <v>0</v>
      </c>
      <c r="I303" s="12" t="s">
        <v>401</v>
      </c>
      <c r="J303" s="12">
        <v>29.4172</v>
      </c>
      <c r="K303" s="12">
        <v>1</v>
      </c>
      <c r="L303" s="11">
        <f t="shared" si="17"/>
        <v>8342</v>
      </c>
      <c r="M303" s="57" t="s">
        <v>918</v>
      </c>
      <c r="N303" s="110">
        <v>222</v>
      </c>
      <c r="O303" s="57">
        <v>223</v>
      </c>
      <c r="P303" s="58">
        <v>40255.645833333336</v>
      </c>
      <c r="Q303" s="59">
        <v>211121615</v>
      </c>
      <c r="R303" s="4">
        <f t="shared" si="15"/>
        <v>33081451494.43283</v>
      </c>
      <c r="S303" s="4">
        <f t="shared" si="15"/>
        <v>0</v>
      </c>
      <c r="T303" s="4">
        <f t="shared" si="16"/>
        <v>33230467041.705055</v>
      </c>
      <c r="U303" s="4">
        <f t="shared" si="16"/>
        <v>0</v>
      </c>
      <c r="V303" s="4"/>
    </row>
    <row r="304" spans="1:22" ht="15.75">
      <c r="A304" s="52">
        <v>8343</v>
      </c>
      <c r="B304" s="12" t="s">
        <v>890</v>
      </c>
      <c r="C304" s="12" t="s">
        <v>398</v>
      </c>
      <c r="D304" s="12" t="s">
        <v>885</v>
      </c>
      <c r="E304" s="12">
        <v>0</v>
      </c>
      <c r="F304" s="12">
        <v>0</v>
      </c>
      <c r="G304" s="12">
        <v>100</v>
      </c>
      <c r="H304" s="12">
        <v>0</v>
      </c>
      <c r="I304" s="12" t="s">
        <v>401</v>
      </c>
      <c r="J304" s="12">
        <v>31.8583</v>
      </c>
      <c r="K304" s="12">
        <v>1</v>
      </c>
      <c r="L304" s="11">
        <f t="shared" si="17"/>
        <v>8343</v>
      </c>
      <c r="M304" s="57" t="s">
        <v>918</v>
      </c>
      <c r="N304" s="110">
        <v>358</v>
      </c>
      <c r="O304" s="57">
        <v>361</v>
      </c>
      <c r="P304" s="58">
        <v>40255.645833333336</v>
      </c>
      <c r="Q304" s="59">
        <v>193936439</v>
      </c>
      <c r="R304" s="4">
        <f t="shared" si="15"/>
        <v>47310267950.55455</v>
      </c>
      <c r="S304" s="4">
        <f t="shared" si="15"/>
        <v>0</v>
      </c>
      <c r="T304" s="4">
        <f t="shared" si="16"/>
        <v>47706722709.91674</v>
      </c>
      <c r="U304" s="4">
        <f t="shared" si="16"/>
        <v>0</v>
      </c>
      <c r="V304" s="4"/>
    </row>
    <row r="305" spans="1:22" ht="15.75">
      <c r="A305" s="52">
        <v>8344</v>
      </c>
      <c r="B305" s="12" t="s">
        <v>891</v>
      </c>
      <c r="C305" s="12" t="s">
        <v>398</v>
      </c>
      <c r="D305" s="12" t="s">
        <v>885</v>
      </c>
      <c r="E305" s="12">
        <v>0</v>
      </c>
      <c r="F305" s="12">
        <v>0</v>
      </c>
      <c r="G305" s="12">
        <v>100</v>
      </c>
      <c r="H305" s="12">
        <v>0</v>
      </c>
      <c r="I305" s="12" t="s">
        <v>401</v>
      </c>
      <c r="J305" s="12">
        <v>38.3053</v>
      </c>
      <c r="K305" s="12">
        <v>1</v>
      </c>
      <c r="L305" s="11">
        <f t="shared" si="17"/>
        <v>8344</v>
      </c>
      <c r="M305" s="57" t="s">
        <v>918</v>
      </c>
      <c r="N305" s="110">
        <v>380</v>
      </c>
      <c r="O305" s="57">
        <v>387</v>
      </c>
      <c r="P305" s="58">
        <v>40255.645833333336</v>
      </c>
      <c r="Q305" s="59">
        <v>172000000</v>
      </c>
      <c r="R305" s="4">
        <f t="shared" si="15"/>
        <v>40323655919.99999</v>
      </c>
      <c r="S305" s="4">
        <f t="shared" si="15"/>
        <v>0</v>
      </c>
      <c r="T305" s="4">
        <f t="shared" si="16"/>
        <v>41066460107.99999</v>
      </c>
      <c r="U305" s="4">
        <f t="shared" si="16"/>
        <v>0</v>
      </c>
      <c r="V305" s="4"/>
    </row>
    <row r="306" spans="1:22" ht="15.75">
      <c r="A306" s="52">
        <v>8345</v>
      </c>
      <c r="B306" s="12" t="s">
        <v>892</v>
      </c>
      <c r="C306" s="12" t="s">
        <v>398</v>
      </c>
      <c r="D306" s="12" t="s">
        <v>885</v>
      </c>
      <c r="E306" s="12">
        <v>0</v>
      </c>
      <c r="F306" s="12">
        <v>0</v>
      </c>
      <c r="G306" s="12">
        <v>100</v>
      </c>
      <c r="H306" s="12">
        <v>0</v>
      </c>
      <c r="I306" s="12" t="s">
        <v>401</v>
      </c>
      <c r="J306" s="12">
        <v>38.9446</v>
      </c>
      <c r="K306" s="12">
        <v>1</v>
      </c>
      <c r="L306" s="11">
        <f t="shared" si="17"/>
        <v>8345</v>
      </c>
      <c r="M306" s="57" t="s">
        <v>918</v>
      </c>
      <c r="N306" s="110">
        <v>5120</v>
      </c>
      <c r="O306" s="57">
        <v>5140</v>
      </c>
      <c r="P306" s="58">
        <v>40255.645833333336</v>
      </c>
      <c r="Q306" s="59">
        <v>19097786</v>
      </c>
      <c r="R306" s="4">
        <f t="shared" si="15"/>
        <v>59700375723.233284</v>
      </c>
      <c r="S306" s="4">
        <f t="shared" si="15"/>
        <v>0</v>
      </c>
      <c r="T306" s="4">
        <f t="shared" si="16"/>
        <v>59933580315.90216</v>
      </c>
      <c r="U306" s="4">
        <f t="shared" si="16"/>
        <v>0</v>
      </c>
      <c r="V306" s="4"/>
    </row>
    <row r="307" spans="1:22" ht="15.75">
      <c r="A307" s="52">
        <v>8346</v>
      </c>
      <c r="B307" s="12" t="s">
        <v>893</v>
      </c>
      <c r="C307" s="12" t="s">
        <v>398</v>
      </c>
      <c r="D307" s="12" t="s">
        <v>885</v>
      </c>
      <c r="E307" s="12">
        <v>0</v>
      </c>
      <c r="F307" s="12">
        <v>0</v>
      </c>
      <c r="G307" s="12">
        <v>100</v>
      </c>
      <c r="H307" s="12">
        <v>0</v>
      </c>
      <c r="I307" s="12" t="s">
        <v>401</v>
      </c>
      <c r="J307" s="12">
        <v>37.4809</v>
      </c>
      <c r="K307" s="12">
        <v>1</v>
      </c>
      <c r="L307" s="11">
        <f t="shared" si="17"/>
        <v>8346</v>
      </c>
      <c r="M307" s="57" t="s">
        <v>918</v>
      </c>
      <c r="N307" s="110">
        <v>294</v>
      </c>
      <c r="O307" s="57">
        <v>292</v>
      </c>
      <c r="P307" s="58">
        <v>40255.645833333336</v>
      </c>
      <c r="Q307" s="59">
        <v>255500000</v>
      </c>
      <c r="R307" s="4">
        <f t="shared" si="15"/>
        <v>46962472347</v>
      </c>
      <c r="S307" s="4">
        <f t="shared" si="15"/>
        <v>0</v>
      </c>
      <c r="T307" s="4">
        <f t="shared" si="16"/>
        <v>46642999746</v>
      </c>
      <c r="U307" s="4">
        <f t="shared" si="16"/>
        <v>0</v>
      </c>
      <c r="V307" s="4"/>
    </row>
    <row r="308" spans="1:22" ht="15.75">
      <c r="A308" s="52">
        <v>8356</v>
      </c>
      <c r="B308" s="67" t="s">
        <v>894</v>
      </c>
      <c r="C308" s="12" t="s">
        <v>398</v>
      </c>
      <c r="D308" t="s">
        <v>885</v>
      </c>
      <c r="E308" s="12">
        <v>0</v>
      </c>
      <c r="F308" s="12">
        <v>0</v>
      </c>
      <c r="G308" s="76">
        <v>100</v>
      </c>
      <c r="H308" s="76">
        <v>0</v>
      </c>
      <c r="I308" s="12" t="s">
        <v>401</v>
      </c>
      <c r="J308" s="76">
        <v>30.8903</v>
      </c>
      <c r="K308" s="121">
        <v>1</v>
      </c>
      <c r="L308" s="11">
        <f t="shared" si="17"/>
        <v>8356</v>
      </c>
      <c r="M308" s="57" t="s">
        <v>918</v>
      </c>
      <c r="N308" s="110">
        <v>354</v>
      </c>
      <c r="O308" s="57">
        <v>358</v>
      </c>
      <c r="P308" s="58">
        <v>40255.645833333336</v>
      </c>
      <c r="Q308" s="59">
        <v>366855449</v>
      </c>
      <c r="R308" s="4"/>
      <c r="S308" s="4"/>
      <c r="T308" s="4"/>
      <c r="U308" s="4"/>
      <c r="V308" s="4"/>
    </row>
    <row r="309" spans="1:22" ht="15.75">
      <c r="A309" s="52">
        <v>8360</v>
      </c>
      <c r="B309" s="12" t="s">
        <v>895</v>
      </c>
      <c r="C309" s="12" t="s">
        <v>398</v>
      </c>
      <c r="D309" s="12" t="s">
        <v>885</v>
      </c>
      <c r="E309" s="12">
        <v>0</v>
      </c>
      <c r="F309" s="12">
        <v>0</v>
      </c>
      <c r="G309" s="12">
        <v>100</v>
      </c>
      <c r="H309" s="12">
        <v>0</v>
      </c>
      <c r="I309" s="12" t="s">
        <v>401</v>
      </c>
      <c r="J309" s="12">
        <v>40.8112</v>
      </c>
      <c r="K309" s="12">
        <v>1</v>
      </c>
      <c r="L309" s="11">
        <f t="shared" si="17"/>
        <v>8360</v>
      </c>
      <c r="M309" s="57" t="s">
        <v>918</v>
      </c>
      <c r="N309" s="110">
        <v>383</v>
      </c>
      <c r="O309" s="57">
        <v>384</v>
      </c>
      <c r="P309" s="58">
        <v>40255.645833333336</v>
      </c>
      <c r="Q309" s="59">
        <v>189915000</v>
      </c>
      <c r="R309" s="4">
        <f t="shared" si="15"/>
        <v>43052420846.16</v>
      </c>
      <c r="S309" s="4">
        <f t="shared" si="15"/>
        <v>0</v>
      </c>
      <c r="T309" s="4">
        <f t="shared" si="16"/>
        <v>43164829255.68</v>
      </c>
      <c r="U309" s="4">
        <f t="shared" si="16"/>
        <v>0</v>
      </c>
      <c r="V309" s="4"/>
    </row>
    <row r="310" spans="1:22" ht="15.75">
      <c r="A310" s="52">
        <v>8361</v>
      </c>
      <c r="B310" s="12" t="s">
        <v>196</v>
      </c>
      <c r="C310" s="12" t="s">
        <v>398</v>
      </c>
      <c r="D310" s="12" t="s">
        <v>885</v>
      </c>
      <c r="E310" s="12">
        <v>0</v>
      </c>
      <c r="F310" s="12">
        <v>0</v>
      </c>
      <c r="G310" s="12">
        <v>100</v>
      </c>
      <c r="H310" s="12">
        <v>0</v>
      </c>
      <c r="I310" s="12" t="s">
        <v>401</v>
      </c>
      <c r="J310" s="12">
        <v>27.8973</v>
      </c>
      <c r="K310" s="12">
        <v>1</v>
      </c>
      <c r="L310" s="11">
        <f t="shared" si="17"/>
        <v>8361</v>
      </c>
      <c r="M310" s="57" t="s">
        <v>918</v>
      </c>
      <c r="N310" s="110">
        <v>313</v>
      </c>
      <c r="O310" s="57">
        <v>315</v>
      </c>
      <c r="P310" s="58">
        <v>40255.645833333336</v>
      </c>
      <c r="Q310" s="59">
        <v>353318975</v>
      </c>
      <c r="R310" s="4">
        <f t="shared" si="15"/>
        <v>79737538943.83272</v>
      </c>
      <c r="S310" s="4">
        <f t="shared" si="15"/>
        <v>0</v>
      </c>
      <c r="T310" s="4">
        <f t="shared" si="16"/>
        <v>80247043985.00737</v>
      </c>
      <c r="U310" s="4">
        <f t="shared" si="16"/>
        <v>0</v>
      </c>
      <c r="V310" s="4"/>
    </row>
    <row r="311" spans="1:22" ht="15.75">
      <c r="A311" s="52">
        <v>8362</v>
      </c>
      <c r="B311" s="12" t="s">
        <v>896</v>
      </c>
      <c r="C311" s="12" t="s">
        <v>398</v>
      </c>
      <c r="D311" s="12" t="s">
        <v>885</v>
      </c>
      <c r="E311" s="12">
        <v>0</v>
      </c>
      <c r="F311" s="12">
        <v>0</v>
      </c>
      <c r="G311" s="12">
        <v>100</v>
      </c>
      <c r="H311" s="12">
        <v>0</v>
      </c>
      <c r="I311" s="12" t="s">
        <v>401</v>
      </c>
      <c r="J311" s="62">
        <v>25.4411</v>
      </c>
      <c r="K311" s="12">
        <v>1</v>
      </c>
      <c r="L311" s="11">
        <f t="shared" si="17"/>
        <v>8362</v>
      </c>
      <c r="M311" s="57" t="s">
        <v>918</v>
      </c>
      <c r="N311" s="110">
        <v>293</v>
      </c>
      <c r="O311" s="57">
        <v>296</v>
      </c>
      <c r="P311" s="58">
        <v>40255.645833333336</v>
      </c>
      <c r="Q311" s="59">
        <v>243446697</v>
      </c>
      <c r="R311" s="4">
        <f t="shared" si="15"/>
        <v>53182775555.27317</v>
      </c>
      <c r="S311" s="4">
        <f t="shared" si="15"/>
        <v>0</v>
      </c>
      <c r="T311" s="4">
        <f t="shared" si="16"/>
        <v>53727309093.38177</v>
      </c>
      <c r="U311" s="4">
        <f t="shared" si="16"/>
        <v>0</v>
      </c>
      <c r="V311" s="4"/>
    </row>
    <row r="312" spans="1:22" ht="15.75">
      <c r="A312" s="52">
        <v>8363</v>
      </c>
      <c r="B312" s="12" t="s">
        <v>897</v>
      </c>
      <c r="C312" s="12" t="s">
        <v>398</v>
      </c>
      <c r="D312" s="12" t="s">
        <v>885</v>
      </c>
      <c r="E312" s="12">
        <v>0</v>
      </c>
      <c r="F312" s="12">
        <v>0</v>
      </c>
      <c r="G312" s="12">
        <v>100</v>
      </c>
      <c r="H312" s="12">
        <v>0</v>
      </c>
      <c r="I312" s="12" t="s">
        <v>401</v>
      </c>
      <c r="J312" s="62">
        <v>44.2855</v>
      </c>
      <c r="K312" s="12">
        <v>1</v>
      </c>
      <c r="L312" s="11">
        <f t="shared" si="17"/>
        <v>8363</v>
      </c>
      <c r="M312" s="57" t="s">
        <v>918</v>
      </c>
      <c r="N312" s="110">
        <v>325</v>
      </c>
      <c r="O312" s="57">
        <v>328</v>
      </c>
      <c r="P312" s="58">
        <v>40255.645833333336</v>
      </c>
      <c r="Q312" s="59">
        <v>346401974</v>
      </c>
      <c r="R312" s="4">
        <f t="shared" si="15"/>
        <v>62723741536.37475</v>
      </c>
      <c r="S312" s="4">
        <f t="shared" si="15"/>
        <v>0</v>
      </c>
      <c r="T312" s="4">
        <f t="shared" si="16"/>
        <v>63302729919.78744</v>
      </c>
      <c r="U312" s="4">
        <f t="shared" si="16"/>
        <v>0</v>
      </c>
      <c r="V312" s="4"/>
    </row>
    <row r="313" spans="1:22" ht="15.75">
      <c r="A313" s="52">
        <v>8367</v>
      </c>
      <c r="B313" s="12" t="s">
        <v>898</v>
      </c>
      <c r="C313" s="12" t="s">
        <v>404</v>
      </c>
      <c r="D313" s="12" t="s">
        <v>885</v>
      </c>
      <c r="E313" s="12">
        <v>0</v>
      </c>
      <c r="F313" s="12">
        <v>0</v>
      </c>
      <c r="G313" s="12">
        <v>100</v>
      </c>
      <c r="H313" s="12">
        <v>0</v>
      </c>
      <c r="I313" s="12" t="s">
        <v>401</v>
      </c>
      <c r="J313" s="12">
        <v>33.783</v>
      </c>
      <c r="K313" s="12">
        <v>1</v>
      </c>
      <c r="L313" s="11">
        <f t="shared" si="17"/>
        <v>8367</v>
      </c>
      <c r="M313" s="57" t="s">
        <v>919</v>
      </c>
      <c r="N313" s="110">
        <v>495</v>
      </c>
      <c r="O313" s="57">
        <v>499</v>
      </c>
      <c r="P313" s="58">
        <v>40255.645833333336</v>
      </c>
      <c r="Q313" s="59">
        <v>281756564</v>
      </c>
      <c r="R313" s="4">
        <f t="shared" si="15"/>
        <v>92352518272.0206</v>
      </c>
      <c r="S313" s="4">
        <f t="shared" si="15"/>
        <v>0</v>
      </c>
      <c r="T313" s="4">
        <f t="shared" si="16"/>
        <v>93098801247.95612</v>
      </c>
      <c r="U313" s="4">
        <f t="shared" si="16"/>
        <v>0</v>
      </c>
      <c r="V313" s="4"/>
    </row>
    <row r="314" spans="1:22" ht="15.75">
      <c r="A314" s="52">
        <v>8368</v>
      </c>
      <c r="B314" s="12" t="s">
        <v>197</v>
      </c>
      <c r="C314" s="12" t="s">
        <v>398</v>
      </c>
      <c r="D314" s="12" t="s">
        <v>885</v>
      </c>
      <c r="E314" s="12">
        <v>0</v>
      </c>
      <c r="F314" s="12">
        <v>0</v>
      </c>
      <c r="G314" s="12">
        <v>100</v>
      </c>
      <c r="H314" s="12">
        <v>0</v>
      </c>
      <c r="I314" s="12" t="s">
        <v>401</v>
      </c>
      <c r="J314" s="12">
        <v>20.8721</v>
      </c>
      <c r="K314" s="12">
        <v>1</v>
      </c>
      <c r="L314" s="11">
        <f t="shared" si="17"/>
        <v>8368</v>
      </c>
      <c r="M314" s="57" t="s">
        <v>918</v>
      </c>
      <c r="N314" s="110">
        <v>408</v>
      </c>
      <c r="O314" s="57">
        <v>409</v>
      </c>
      <c r="P314" s="58">
        <v>40255.645833333336</v>
      </c>
      <c r="Q314" s="59">
        <v>261225000</v>
      </c>
      <c r="R314" s="4">
        <f t="shared" si="15"/>
        <v>84334357564.2</v>
      </c>
      <c r="S314" s="4">
        <f t="shared" si="15"/>
        <v>0</v>
      </c>
      <c r="T314" s="4">
        <f t="shared" si="16"/>
        <v>84541059420.975</v>
      </c>
      <c r="U314" s="4">
        <f t="shared" si="16"/>
        <v>0</v>
      </c>
      <c r="V314" s="4"/>
    </row>
    <row r="315" spans="1:22" ht="15.75">
      <c r="A315" s="52">
        <v>8374</v>
      </c>
      <c r="B315" s="12" t="s">
        <v>1181</v>
      </c>
      <c r="C315" s="12" t="s">
        <v>398</v>
      </c>
      <c r="D315" s="12" t="s">
        <v>885</v>
      </c>
      <c r="E315" s="12">
        <v>0</v>
      </c>
      <c r="F315" s="12">
        <v>0</v>
      </c>
      <c r="G315" s="12">
        <v>100</v>
      </c>
      <c r="H315" s="12">
        <v>0</v>
      </c>
      <c r="I315" s="12" t="s">
        <v>401</v>
      </c>
      <c r="J315" s="62">
        <v>33.2594</v>
      </c>
      <c r="K315" s="12">
        <v>1</v>
      </c>
      <c r="L315" s="11">
        <f t="shared" si="17"/>
        <v>8374</v>
      </c>
      <c r="M315" s="57" t="s">
        <v>918</v>
      </c>
      <c r="N315" s="110">
        <v>238</v>
      </c>
      <c r="O315" s="57">
        <v>243</v>
      </c>
      <c r="P315" s="58">
        <v>40255.645833333336</v>
      </c>
      <c r="Q315" s="59">
        <v>134830342</v>
      </c>
      <c r="R315" s="4">
        <f t="shared" si="15"/>
        <v>21416805857.418774</v>
      </c>
      <c r="S315" s="4">
        <f t="shared" si="15"/>
        <v>0</v>
      </c>
      <c r="T315" s="4">
        <f t="shared" si="16"/>
        <v>21866738753.58304</v>
      </c>
      <c r="U315" s="4">
        <f t="shared" si="16"/>
        <v>0</v>
      </c>
      <c r="V315" s="4"/>
    </row>
    <row r="316" spans="1:22" ht="15.75">
      <c r="A316" s="52">
        <v>8386</v>
      </c>
      <c r="B316" s="12" t="s">
        <v>899</v>
      </c>
      <c r="C316" s="12" t="s">
        <v>398</v>
      </c>
      <c r="D316" s="12" t="s">
        <v>885</v>
      </c>
      <c r="E316" s="12">
        <v>0</v>
      </c>
      <c r="F316" s="12">
        <v>0</v>
      </c>
      <c r="G316" s="12">
        <v>100</v>
      </c>
      <c r="H316" s="12">
        <v>0</v>
      </c>
      <c r="I316" s="12" t="s">
        <v>401</v>
      </c>
      <c r="J316" s="12">
        <v>40.3609</v>
      </c>
      <c r="K316" s="12">
        <v>1</v>
      </c>
      <c r="L316" s="11">
        <f t="shared" si="17"/>
        <v>8386</v>
      </c>
      <c r="M316" s="57" t="s">
        <v>918</v>
      </c>
      <c r="N316" s="110">
        <v>337</v>
      </c>
      <c r="O316" s="57">
        <v>340</v>
      </c>
      <c r="P316" s="58">
        <v>40255.645833333336</v>
      </c>
      <c r="Q316" s="59">
        <v>310076069</v>
      </c>
      <c r="R316" s="4">
        <f t="shared" si="15"/>
        <v>62320256404.17193</v>
      </c>
      <c r="S316" s="4">
        <f t="shared" si="15"/>
        <v>0</v>
      </c>
      <c r="T316" s="4">
        <f t="shared" si="16"/>
        <v>62875036134.772865</v>
      </c>
      <c r="U316" s="4">
        <f t="shared" si="16"/>
        <v>0</v>
      </c>
      <c r="V316" s="4"/>
    </row>
    <row r="317" spans="1:22" ht="15.75">
      <c r="A317" s="52">
        <v>8387</v>
      </c>
      <c r="B317" s="12" t="s">
        <v>900</v>
      </c>
      <c r="C317" s="12" t="s">
        <v>398</v>
      </c>
      <c r="D317" s="12" t="s">
        <v>885</v>
      </c>
      <c r="E317" s="12">
        <v>0</v>
      </c>
      <c r="F317" s="12">
        <v>0</v>
      </c>
      <c r="G317" s="12">
        <v>100</v>
      </c>
      <c r="H317" s="12">
        <v>0</v>
      </c>
      <c r="I317" s="12" t="s">
        <v>401</v>
      </c>
      <c r="J317" s="12">
        <v>32.8813</v>
      </c>
      <c r="K317" s="12">
        <v>1</v>
      </c>
      <c r="L317" s="11">
        <f t="shared" si="17"/>
        <v>8387</v>
      </c>
      <c r="M317" s="57" t="s">
        <v>918</v>
      </c>
      <c r="N317" s="110">
        <v>302</v>
      </c>
      <c r="O317" s="57">
        <v>306</v>
      </c>
      <c r="P317" s="58">
        <v>40255.645833333336</v>
      </c>
      <c r="Q317" s="59">
        <v>218500000</v>
      </c>
      <c r="R317" s="4">
        <f t="shared" si="15"/>
        <v>44289616568.99999</v>
      </c>
      <c r="S317" s="4">
        <f t="shared" si="15"/>
        <v>0</v>
      </c>
      <c r="T317" s="4">
        <f t="shared" si="16"/>
        <v>44876234006.99999</v>
      </c>
      <c r="U317" s="4">
        <f t="shared" si="16"/>
        <v>0</v>
      </c>
      <c r="V317" s="4"/>
    </row>
    <row r="318" spans="1:22" ht="15.75">
      <c r="A318" s="52">
        <v>8388</v>
      </c>
      <c r="B318" s="12" t="s">
        <v>198</v>
      </c>
      <c r="C318" s="12" t="s">
        <v>398</v>
      </c>
      <c r="D318" s="12" t="s">
        <v>885</v>
      </c>
      <c r="E318" s="12">
        <v>0</v>
      </c>
      <c r="F318" s="12">
        <v>0</v>
      </c>
      <c r="G318" s="12">
        <v>100</v>
      </c>
      <c r="H318" s="12">
        <v>0</v>
      </c>
      <c r="I318" s="12" t="s">
        <v>401</v>
      </c>
      <c r="J318" s="12">
        <v>24.2541</v>
      </c>
      <c r="K318" s="12">
        <v>1</v>
      </c>
      <c r="L318" s="11">
        <f t="shared" si="17"/>
        <v>8388</v>
      </c>
      <c r="M318" s="57" t="s">
        <v>918</v>
      </c>
      <c r="N318" s="110">
        <v>514</v>
      </c>
      <c r="O318" s="57">
        <v>519</v>
      </c>
      <c r="P318" s="58">
        <v>40255.645833333336</v>
      </c>
      <c r="Q318" s="59">
        <v>236000000</v>
      </c>
      <c r="R318" s="4">
        <f t="shared" si="15"/>
        <v>91882806536</v>
      </c>
      <c r="S318" s="4">
        <f t="shared" si="15"/>
        <v>0</v>
      </c>
      <c r="T318" s="4">
        <f t="shared" si="16"/>
        <v>92776608156</v>
      </c>
      <c r="U318" s="4">
        <f t="shared" si="16"/>
        <v>0</v>
      </c>
      <c r="V318" s="4"/>
    </row>
    <row r="319" spans="1:22" ht="15.75">
      <c r="A319" s="52">
        <v>8390</v>
      </c>
      <c r="B319" s="12" t="s">
        <v>901</v>
      </c>
      <c r="C319" s="12" t="s">
        <v>398</v>
      </c>
      <c r="D319" s="12" t="s">
        <v>885</v>
      </c>
      <c r="E319" s="12">
        <v>0</v>
      </c>
      <c r="F319" s="12">
        <v>0</v>
      </c>
      <c r="G319" s="12">
        <v>100</v>
      </c>
      <c r="H319" s="12">
        <v>0</v>
      </c>
      <c r="I319" s="12" t="s">
        <v>401</v>
      </c>
      <c r="J319" s="12">
        <v>42.4407</v>
      </c>
      <c r="K319" s="12">
        <v>1</v>
      </c>
      <c r="L319" s="11">
        <f t="shared" si="17"/>
        <v>8390</v>
      </c>
      <c r="M319" s="57" t="s">
        <v>918</v>
      </c>
      <c r="N319" s="110">
        <v>629</v>
      </c>
      <c r="O319" s="57">
        <v>630</v>
      </c>
      <c r="P319" s="58">
        <v>40255.645833333336</v>
      </c>
      <c r="Q319" s="59">
        <v>210403655</v>
      </c>
      <c r="R319" s="4">
        <f t="shared" si="15"/>
        <v>76176221854.22903</v>
      </c>
      <c r="S319" s="4">
        <f t="shared" si="15"/>
        <v>0</v>
      </c>
      <c r="T319" s="4">
        <f t="shared" si="16"/>
        <v>76297328725.22147</v>
      </c>
      <c r="U319" s="4">
        <f t="shared" si="16"/>
        <v>0</v>
      </c>
      <c r="V319" s="4"/>
    </row>
    <row r="320" spans="1:22" ht="15.75">
      <c r="A320" s="52">
        <v>8392</v>
      </c>
      <c r="B320" s="12" t="s">
        <v>902</v>
      </c>
      <c r="C320" s="12" t="s">
        <v>398</v>
      </c>
      <c r="D320" s="12" t="s">
        <v>885</v>
      </c>
      <c r="E320" s="12">
        <v>0</v>
      </c>
      <c r="F320" s="12">
        <v>0</v>
      </c>
      <c r="G320" s="12">
        <v>100</v>
      </c>
      <c r="H320" s="12">
        <v>0</v>
      </c>
      <c r="I320" s="12" t="s">
        <v>401</v>
      </c>
      <c r="J320" s="12">
        <v>32.6379</v>
      </c>
      <c r="K320" s="12">
        <v>1</v>
      </c>
      <c r="L320" s="11">
        <f t="shared" si="17"/>
        <v>8392</v>
      </c>
      <c r="M320" s="57" t="s">
        <v>918</v>
      </c>
      <c r="N320" s="110">
        <v>318</v>
      </c>
      <c r="O320" s="57">
        <v>323</v>
      </c>
      <c r="P320" s="58">
        <v>40255.645833333336</v>
      </c>
      <c r="Q320" s="59">
        <v>171436342</v>
      </c>
      <c r="R320" s="4">
        <f t="shared" si="15"/>
        <v>36723632202.733475</v>
      </c>
      <c r="S320" s="4">
        <f t="shared" si="15"/>
        <v>0</v>
      </c>
      <c r="T320" s="4">
        <f t="shared" si="16"/>
        <v>37301047803.40539</v>
      </c>
      <c r="U320" s="4">
        <f t="shared" si="16"/>
        <v>0</v>
      </c>
      <c r="V320" s="4"/>
    </row>
    <row r="321" spans="1:22" ht="15.75">
      <c r="A321" s="52">
        <v>8393</v>
      </c>
      <c r="B321" s="12" t="s">
        <v>1182</v>
      </c>
      <c r="C321" s="12" t="s">
        <v>398</v>
      </c>
      <c r="D321" s="12" t="s">
        <v>885</v>
      </c>
      <c r="E321" s="12">
        <v>0</v>
      </c>
      <c r="F321" s="12">
        <v>0</v>
      </c>
      <c r="G321" s="12">
        <v>100</v>
      </c>
      <c r="H321" s="12">
        <v>0</v>
      </c>
      <c r="I321" s="12" t="s">
        <v>401</v>
      </c>
      <c r="J321" s="12">
        <v>33.315</v>
      </c>
      <c r="K321" s="12">
        <v>1</v>
      </c>
      <c r="L321" s="11">
        <f t="shared" si="17"/>
        <v>8393</v>
      </c>
      <c r="M321" s="57" t="s">
        <v>918</v>
      </c>
      <c r="N321" s="110">
        <v>274</v>
      </c>
      <c r="O321" s="57">
        <v>275</v>
      </c>
      <c r="P321" s="58">
        <v>40255.645833333336</v>
      </c>
      <c r="Q321" s="59">
        <v>176334000</v>
      </c>
      <c r="R321" s="4">
        <f t="shared" si="15"/>
        <v>32219201844.6</v>
      </c>
      <c r="S321" s="4">
        <f t="shared" si="15"/>
        <v>0</v>
      </c>
      <c r="T321" s="4">
        <f t="shared" si="16"/>
        <v>32336790172.5</v>
      </c>
      <c r="U321" s="4">
        <f t="shared" si="16"/>
        <v>0</v>
      </c>
      <c r="V321" s="4"/>
    </row>
    <row r="322" spans="1:22" ht="15.75">
      <c r="A322" s="52">
        <v>8394</v>
      </c>
      <c r="B322" s="12" t="s">
        <v>903</v>
      </c>
      <c r="C322" s="12" t="s">
        <v>398</v>
      </c>
      <c r="D322" s="12" t="s">
        <v>885</v>
      </c>
      <c r="E322" s="12">
        <v>0</v>
      </c>
      <c r="F322" s="12">
        <v>0</v>
      </c>
      <c r="G322" s="12">
        <v>100</v>
      </c>
      <c r="H322" s="12">
        <v>0</v>
      </c>
      <c r="I322" s="12" t="s">
        <v>401</v>
      </c>
      <c r="J322" s="12">
        <v>40.63</v>
      </c>
      <c r="K322" s="12">
        <v>1</v>
      </c>
      <c r="L322" s="11">
        <f t="shared" si="17"/>
        <v>8394</v>
      </c>
      <c r="M322" s="57" t="s">
        <v>918</v>
      </c>
      <c r="N322" s="110">
        <v>481</v>
      </c>
      <c r="O322" s="57">
        <v>484</v>
      </c>
      <c r="P322" s="58">
        <v>40255.645833333336</v>
      </c>
      <c r="Q322" s="59">
        <v>237785291</v>
      </c>
      <c r="R322" s="4">
        <f t="shared" si="15"/>
        <v>67904274215.2827</v>
      </c>
      <c r="S322" s="4">
        <f t="shared" si="15"/>
        <v>0</v>
      </c>
      <c r="T322" s="4">
        <f t="shared" si="16"/>
        <v>68327793597.0828</v>
      </c>
      <c r="U322" s="4">
        <f t="shared" si="16"/>
        <v>0</v>
      </c>
      <c r="V322" s="4"/>
    </row>
    <row r="323" spans="1:22" ht="15.75">
      <c r="A323" s="52">
        <v>8395</v>
      </c>
      <c r="B323" s="12" t="s">
        <v>199</v>
      </c>
      <c r="C323" s="12" t="s">
        <v>398</v>
      </c>
      <c r="D323" s="12" t="s">
        <v>885</v>
      </c>
      <c r="E323" s="12">
        <v>0</v>
      </c>
      <c r="F323" s="12">
        <v>0</v>
      </c>
      <c r="G323" s="12">
        <v>100</v>
      </c>
      <c r="H323" s="12">
        <v>0</v>
      </c>
      <c r="I323" s="12" t="s">
        <v>401</v>
      </c>
      <c r="J323" s="12">
        <v>45.2531</v>
      </c>
      <c r="K323" s="12">
        <v>1</v>
      </c>
      <c r="L323" s="11">
        <f t="shared" si="17"/>
        <v>8395</v>
      </c>
      <c r="M323" s="57" t="s">
        <v>918</v>
      </c>
      <c r="N323" s="110">
        <v>260</v>
      </c>
      <c r="O323" s="57">
        <v>261</v>
      </c>
      <c r="P323" s="58">
        <v>40255.645833333336</v>
      </c>
      <c r="Q323" s="59">
        <v>173359090</v>
      </c>
      <c r="R323" s="4">
        <f t="shared" si="15"/>
        <v>24676269187.234596</v>
      </c>
      <c r="S323" s="4">
        <f t="shared" si="15"/>
        <v>0</v>
      </c>
      <c r="T323" s="4">
        <f t="shared" si="16"/>
        <v>24771177914.877808</v>
      </c>
      <c r="U323" s="4">
        <f t="shared" si="16"/>
        <v>0</v>
      </c>
      <c r="V323" s="4"/>
    </row>
    <row r="324" spans="1:22" ht="15.75">
      <c r="A324" s="52">
        <v>8396</v>
      </c>
      <c r="B324" s="12" t="s">
        <v>989</v>
      </c>
      <c r="C324" s="12" t="s">
        <v>398</v>
      </c>
      <c r="D324" s="12" t="s">
        <v>885</v>
      </c>
      <c r="E324" s="12">
        <v>0</v>
      </c>
      <c r="F324" s="12">
        <v>0</v>
      </c>
      <c r="G324" s="12">
        <v>100</v>
      </c>
      <c r="H324" s="12">
        <v>0</v>
      </c>
      <c r="I324" s="12" t="s">
        <v>401</v>
      </c>
      <c r="J324" s="12">
        <v>31.4387</v>
      </c>
      <c r="K324" s="12">
        <v>1</v>
      </c>
      <c r="L324" s="11">
        <f t="shared" si="17"/>
        <v>8396</v>
      </c>
      <c r="M324" s="57" t="s">
        <v>918</v>
      </c>
      <c r="N324" s="110">
        <v>259</v>
      </c>
      <c r="O324" s="57">
        <v>260</v>
      </c>
      <c r="P324" s="58">
        <v>40255.645833333336</v>
      </c>
      <c r="Q324" s="59">
        <v>180717119</v>
      </c>
      <c r="R324" s="4">
        <f t="shared" si="15"/>
        <v>32090619582.21727</v>
      </c>
      <c r="S324" s="4">
        <f t="shared" si="15"/>
        <v>0</v>
      </c>
      <c r="T324" s="4">
        <f t="shared" si="16"/>
        <v>32214521588.326218</v>
      </c>
      <c r="U324" s="4">
        <f t="shared" si="16"/>
        <v>0</v>
      </c>
      <c r="V324" s="4"/>
    </row>
    <row r="325" spans="1:22" ht="15.75">
      <c r="A325" s="52">
        <v>8397</v>
      </c>
      <c r="B325" s="12" t="s">
        <v>990</v>
      </c>
      <c r="C325" s="12" t="s">
        <v>398</v>
      </c>
      <c r="D325" s="12" t="s">
        <v>885</v>
      </c>
      <c r="E325" s="12">
        <v>0</v>
      </c>
      <c r="F325" s="12">
        <v>0</v>
      </c>
      <c r="G325" s="12">
        <v>100</v>
      </c>
      <c r="H325" s="12">
        <v>0</v>
      </c>
      <c r="I325" s="12" t="s">
        <v>401</v>
      </c>
      <c r="J325" s="12">
        <v>28.6067</v>
      </c>
      <c r="K325" s="12">
        <v>1</v>
      </c>
      <c r="L325" s="11">
        <f t="shared" si="17"/>
        <v>8397</v>
      </c>
      <c r="M325" s="57" t="s">
        <v>918</v>
      </c>
      <c r="N325" s="110">
        <v>3645</v>
      </c>
      <c r="O325" s="57">
        <v>3600</v>
      </c>
      <c r="P325" s="58">
        <v>40255.645833333336</v>
      </c>
      <c r="Q325" s="59">
        <v>21815881</v>
      </c>
      <c r="R325" s="4">
        <f t="shared" si="15"/>
        <v>56771157013.55159</v>
      </c>
      <c r="S325" s="4">
        <f t="shared" si="15"/>
        <v>0</v>
      </c>
      <c r="T325" s="4">
        <f t="shared" si="16"/>
        <v>56070278531.9028</v>
      </c>
      <c r="U325" s="4">
        <f t="shared" si="16"/>
        <v>0</v>
      </c>
      <c r="V325" s="4"/>
    </row>
    <row r="326" spans="1:22" ht="15.75">
      <c r="A326" s="52">
        <v>8399</v>
      </c>
      <c r="B326" s="12" t="s">
        <v>200</v>
      </c>
      <c r="C326" s="12" t="s">
        <v>398</v>
      </c>
      <c r="D326" s="12" t="s">
        <v>885</v>
      </c>
      <c r="E326" s="12">
        <v>0</v>
      </c>
      <c r="F326" s="12">
        <v>0</v>
      </c>
      <c r="G326" s="12">
        <v>100</v>
      </c>
      <c r="H326" s="12">
        <v>0</v>
      </c>
      <c r="I326" s="12" t="s">
        <v>401</v>
      </c>
      <c r="J326" s="12">
        <v>14.8398</v>
      </c>
      <c r="K326" s="12">
        <v>1</v>
      </c>
      <c r="L326" s="11">
        <f t="shared" si="17"/>
        <v>8399</v>
      </c>
      <c r="M326" s="57" t="s">
        <v>918</v>
      </c>
      <c r="N326" s="110">
        <v>993</v>
      </c>
      <c r="O326" s="57">
        <v>991</v>
      </c>
      <c r="P326" s="58">
        <v>40255.645833333336</v>
      </c>
      <c r="Q326" s="59">
        <v>39308470</v>
      </c>
      <c r="R326" s="4">
        <f t="shared" si="15"/>
        <v>33240845467.257423</v>
      </c>
      <c r="S326" s="4">
        <f t="shared" si="15"/>
        <v>0</v>
      </c>
      <c r="T326" s="4">
        <f t="shared" si="16"/>
        <v>33173895123.919544</v>
      </c>
      <c r="U326" s="4">
        <f t="shared" si="16"/>
        <v>0</v>
      </c>
      <c r="V326" s="4"/>
    </row>
    <row r="327" spans="1:22" ht="15.75">
      <c r="A327" s="52">
        <v>8409</v>
      </c>
      <c r="B327" s="12" t="s">
        <v>1183</v>
      </c>
      <c r="C327" s="12" t="s">
        <v>398</v>
      </c>
      <c r="D327" s="12" t="s">
        <v>885</v>
      </c>
      <c r="E327" s="12">
        <v>0</v>
      </c>
      <c r="F327" s="12">
        <v>0</v>
      </c>
      <c r="G327" s="12">
        <v>100</v>
      </c>
      <c r="H327" s="12">
        <v>0</v>
      </c>
      <c r="I327" s="12" t="s">
        <v>401</v>
      </c>
      <c r="J327" s="12">
        <v>29.6021</v>
      </c>
      <c r="K327" s="12">
        <v>1</v>
      </c>
      <c r="L327" s="11">
        <f t="shared" si="17"/>
        <v>8409</v>
      </c>
      <c r="M327" s="57" t="s">
        <v>918</v>
      </c>
      <c r="N327" s="110">
        <v>2084</v>
      </c>
      <c r="O327" s="57">
        <v>2075</v>
      </c>
      <c r="P327" s="58">
        <v>40255.645833333336</v>
      </c>
      <c r="Q327" s="59">
        <v>15822991</v>
      </c>
      <c r="R327" s="4">
        <f t="shared" si="15"/>
        <v>23213787246.397873</v>
      </c>
      <c r="S327" s="4">
        <f t="shared" si="15"/>
        <v>0</v>
      </c>
      <c r="T327" s="4">
        <f t="shared" si="16"/>
        <v>23113535765.96717</v>
      </c>
      <c r="U327" s="4">
        <f t="shared" si="16"/>
        <v>0</v>
      </c>
      <c r="V327" s="4"/>
    </row>
    <row r="328" spans="1:22" ht="15.75">
      <c r="A328" s="52">
        <v>8410</v>
      </c>
      <c r="B328" s="12" t="s">
        <v>201</v>
      </c>
      <c r="C328" s="12" t="s">
        <v>418</v>
      </c>
      <c r="D328" s="12" t="s">
        <v>885</v>
      </c>
      <c r="E328" s="12">
        <v>0</v>
      </c>
      <c r="F328" s="12">
        <v>0</v>
      </c>
      <c r="G328" s="12">
        <v>0</v>
      </c>
      <c r="H328" s="12">
        <v>100</v>
      </c>
      <c r="I328" s="12" t="s">
        <v>401</v>
      </c>
      <c r="J328" s="12">
        <v>64.6225</v>
      </c>
      <c r="K328" s="12">
        <v>1</v>
      </c>
      <c r="L328" s="11">
        <f t="shared" si="17"/>
        <v>8410</v>
      </c>
      <c r="M328" s="57" t="s">
        <v>923</v>
      </c>
      <c r="N328" s="110">
        <v>187000</v>
      </c>
      <c r="O328" s="57">
        <v>187900</v>
      </c>
      <c r="P328" s="58">
        <v>40255.645833333336</v>
      </c>
      <c r="Q328" s="59">
        <v>1220027</v>
      </c>
      <c r="R328" s="4">
        <f t="shared" si="15"/>
        <v>0</v>
      </c>
      <c r="S328" s="4">
        <f t="shared" si="15"/>
        <v>80712014709.975</v>
      </c>
      <c r="T328" s="4">
        <f t="shared" si="16"/>
        <v>0</v>
      </c>
      <c r="U328" s="4">
        <f t="shared" si="16"/>
        <v>81100468256.7075</v>
      </c>
      <c r="V328" s="4"/>
    </row>
    <row r="329" spans="1:22" ht="15.75">
      <c r="A329" s="52">
        <v>8415</v>
      </c>
      <c r="B329" s="12" t="s">
        <v>991</v>
      </c>
      <c r="C329" s="12" t="s">
        <v>398</v>
      </c>
      <c r="D329" s="12" t="s">
        <v>885</v>
      </c>
      <c r="E329" s="12">
        <v>0</v>
      </c>
      <c r="F329" s="12">
        <v>0</v>
      </c>
      <c r="G329" s="12">
        <v>100</v>
      </c>
      <c r="H329" s="12">
        <v>0</v>
      </c>
      <c r="I329" s="12" t="s">
        <v>401</v>
      </c>
      <c r="J329" s="12">
        <v>14.1247</v>
      </c>
      <c r="K329" s="12">
        <v>1</v>
      </c>
      <c r="L329" s="11">
        <f t="shared" si="17"/>
        <v>8415</v>
      </c>
      <c r="M329" s="57" t="s">
        <v>918</v>
      </c>
      <c r="N329" s="110">
        <v>119</v>
      </c>
      <c r="O329" s="57">
        <v>119</v>
      </c>
      <c r="P329" s="58">
        <v>40255.645833333336</v>
      </c>
      <c r="Q329" s="59">
        <v>741090701</v>
      </c>
      <c r="R329" s="4">
        <f t="shared" si="15"/>
        <v>75733249667.9465</v>
      </c>
      <c r="S329" s="4">
        <f t="shared" si="15"/>
        <v>0</v>
      </c>
      <c r="T329" s="4">
        <f t="shared" si="16"/>
        <v>75733249667.9465</v>
      </c>
      <c r="U329" s="4">
        <f t="shared" si="16"/>
        <v>0</v>
      </c>
      <c r="V329" s="4"/>
    </row>
    <row r="330" spans="1:22" ht="15.75">
      <c r="A330" s="52">
        <v>8424</v>
      </c>
      <c r="B330" s="12" t="s">
        <v>202</v>
      </c>
      <c r="C330" s="12" t="s">
        <v>398</v>
      </c>
      <c r="D330" s="12" t="s">
        <v>371</v>
      </c>
      <c r="E330" s="12">
        <v>0</v>
      </c>
      <c r="F330" s="12">
        <v>0</v>
      </c>
      <c r="G330" s="12">
        <v>100</v>
      </c>
      <c r="H330" s="12">
        <v>0</v>
      </c>
      <c r="I330" s="12" t="s">
        <v>401</v>
      </c>
      <c r="J330" s="12">
        <v>52.1271</v>
      </c>
      <c r="K330" s="12">
        <v>1</v>
      </c>
      <c r="L330" s="11">
        <f t="shared" si="17"/>
        <v>8424</v>
      </c>
      <c r="M330" s="57" t="s">
        <v>918</v>
      </c>
      <c r="N330" s="110">
        <v>2840</v>
      </c>
      <c r="O330" s="57">
        <v>2884</v>
      </c>
      <c r="P330" s="58">
        <v>40255.645833333336</v>
      </c>
      <c r="Q330" s="59">
        <v>30287810</v>
      </c>
      <c r="R330" s="4">
        <f t="shared" si="15"/>
        <v>41179014501.5116</v>
      </c>
      <c r="S330" s="4">
        <f t="shared" si="15"/>
        <v>0</v>
      </c>
      <c r="T330" s="4">
        <f t="shared" si="16"/>
        <v>41816999233.22516</v>
      </c>
      <c r="U330" s="4">
        <f t="shared" si="16"/>
        <v>0</v>
      </c>
      <c r="V330" s="4"/>
    </row>
    <row r="331" spans="1:22" ht="15.75">
      <c r="A331" s="52">
        <v>8439</v>
      </c>
      <c r="B331" s="12" t="s">
        <v>203</v>
      </c>
      <c r="C331" s="12" t="s">
        <v>398</v>
      </c>
      <c r="D331" s="12" t="s">
        <v>371</v>
      </c>
      <c r="E331" s="12">
        <v>0</v>
      </c>
      <c r="F331" s="12">
        <v>0</v>
      </c>
      <c r="G331" s="12">
        <v>100</v>
      </c>
      <c r="H331" s="12">
        <v>0</v>
      </c>
      <c r="I331" s="12" t="s">
        <v>401</v>
      </c>
      <c r="J331" s="12">
        <v>57.9514</v>
      </c>
      <c r="K331" s="12">
        <v>1</v>
      </c>
      <c r="L331" s="11">
        <f t="shared" si="17"/>
        <v>8439</v>
      </c>
      <c r="M331" s="57" t="s">
        <v>918</v>
      </c>
      <c r="N331" s="110">
        <v>1291</v>
      </c>
      <c r="O331" s="57">
        <v>1298</v>
      </c>
      <c r="P331" s="58">
        <v>40255.645833333336</v>
      </c>
      <c r="Q331" s="59">
        <v>106624620</v>
      </c>
      <c r="R331" s="4">
        <f t="shared" si="15"/>
        <v>57880900515.22811</v>
      </c>
      <c r="S331" s="4">
        <f t="shared" si="15"/>
        <v>0</v>
      </c>
      <c r="T331" s="4">
        <f t="shared" si="16"/>
        <v>58194739634.98535</v>
      </c>
      <c r="U331" s="4">
        <f t="shared" si="16"/>
        <v>0</v>
      </c>
      <c r="V331" s="4"/>
    </row>
    <row r="332" spans="1:22" ht="15.75">
      <c r="A332" s="52">
        <v>8511</v>
      </c>
      <c r="B332" s="12" t="s">
        <v>992</v>
      </c>
      <c r="C332" s="12" t="s">
        <v>398</v>
      </c>
      <c r="D332" s="12" t="s">
        <v>371</v>
      </c>
      <c r="E332" s="12">
        <v>0</v>
      </c>
      <c r="F332" s="12">
        <v>0</v>
      </c>
      <c r="G332" s="12">
        <v>100</v>
      </c>
      <c r="H332" s="12">
        <v>0</v>
      </c>
      <c r="I332" s="12" t="s">
        <v>401</v>
      </c>
      <c r="J332" s="12">
        <v>22.9215</v>
      </c>
      <c r="K332" s="12">
        <v>1</v>
      </c>
      <c r="L332" s="11">
        <f t="shared" si="17"/>
        <v>8511</v>
      </c>
      <c r="M332" s="57" t="s">
        <v>918</v>
      </c>
      <c r="N332" s="110">
        <v>677</v>
      </c>
      <c r="O332" s="57">
        <v>667</v>
      </c>
      <c r="P332" s="58">
        <v>40255.645833333336</v>
      </c>
      <c r="Q332" s="59">
        <v>93700000</v>
      </c>
      <c r="R332" s="4">
        <f t="shared" si="15"/>
        <v>48894669396.49999</v>
      </c>
      <c r="S332" s="4">
        <f t="shared" si="15"/>
        <v>0</v>
      </c>
      <c r="T332" s="4">
        <f t="shared" si="16"/>
        <v>48172443851.49999</v>
      </c>
      <c r="U332" s="4">
        <f t="shared" si="16"/>
        <v>0</v>
      </c>
      <c r="V332" s="4"/>
    </row>
    <row r="333" spans="1:22" ht="15.75">
      <c r="A333" s="52">
        <v>8522</v>
      </c>
      <c r="B333" s="12" t="s">
        <v>993</v>
      </c>
      <c r="C333" s="12" t="s">
        <v>398</v>
      </c>
      <c r="D333" s="12" t="s">
        <v>885</v>
      </c>
      <c r="E333" s="12">
        <v>0</v>
      </c>
      <c r="F333" s="12">
        <v>0</v>
      </c>
      <c r="G333" s="12">
        <v>100</v>
      </c>
      <c r="H333" s="12">
        <v>0</v>
      </c>
      <c r="I333" s="12" t="s">
        <v>401</v>
      </c>
      <c r="J333" s="12">
        <v>42.7458</v>
      </c>
      <c r="K333" s="12">
        <v>1</v>
      </c>
      <c r="L333" s="11">
        <f t="shared" si="17"/>
        <v>8522</v>
      </c>
      <c r="M333" s="57" t="s">
        <v>918</v>
      </c>
      <c r="N333" s="110">
        <v>357</v>
      </c>
      <c r="O333" s="57">
        <v>352</v>
      </c>
      <c r="P333" s="58">
        <v>40255.645833333336</v>
      </c>
      <c r="Q333" s="59">
        <v>205054873</v>
      </c>
      <c r="R333" s="4">
        <f aca="true" t="shared" si="18" ref="R333:S351">(E333+G333)*(100-$J333)*$N333*$Q333/10000</f>
        <v>41912702173.68826</v>
      </c>
      <c r="S333" s="4">
        <f t="shared" si="18"/>
        <v>0</v>
      </c>
      <c r="T333" s="4">
        <f t="shared" si="16"/>
        <v>41325689538.20243</v>
      </c>
      <c r="U333" s="4">
        <f t="shared" si="16"/>
        <v>0</v>
      </c>
      <c r="V333" s="4"/>
    </row>
    <row r="334" spans="1:22" ht="15.75">
      <c r="A334" s="52">
        <v>8527</v>
      </c>
      <c r="B334" s="12" t="s">
        <v>994</v>
      </c>
      <c r="C334" s="12" t="s">
        <v>398</v>
      </c>
      <c r="D334" s="12" t="s">
        <v>885</v>
      </c>
      <c r="E334" s="12">
        <v>0</v>
      </c>
      <c r="F334" s="12">
        <v>0</v>
      </c>
      <c r="G334" s="12">
        <v>100</v>
      </c>
      <c r="H334" s="12">
        <v>0</v>
      </c>
      <c r="I334" s="12" t="s">
        <v>401</v>
      </c>
      <c r="J334" s="12">
        <v>50.8979</v>
      </c>
      <c r="K334" s="12">
        <v>1</v>
      </c>
      <c r="L334" s="11">
        <f t="shared" si="17"/>
        <v>8527</v>
      </c>
      <c r="M334" s="57" t="s">
        <v>918</v>
      </c>
      <c r="N334" s="110">
        <v>7020</v>
      </c>
      <c r="O334" s="57">
        <v>7000</v>
      </c>
      <c r="P334" s="58">
        <v>40255.645833333336</v>
      </c>
      <c r="Q334" s="59">
        <v>10943240</v>
      </c>
      <c r="R334" s="4">
        <f t="shared" si="18"/>
        <v>37720991749.24081</v>
      </c>
      <c r="S334" s="4">
        <f t="shared" si="18"/>
        <v>0</v>
      </c>
      <c r="T334" s="4">
        <f aca="true" t="shared" si="19" ref="T334:U351">(E334+G334)*(100-$J334)*$O334*$Q334/10000</f>
        <v>37613524536.28</v>
      </c>
      <c r="U334" s="4">
        <f t="shared" si="19"/>
        <v>0</v>
      </c>
      <c r="V334" s="4"/>
    </row>
    <row r="335" spans="1:22" ht="15.75">
      <c r="A335" s="52">
        <v>8529</v>
      </c>
      <c r="B335" s="12" t="s">
        <v>1184</v>
      </c>
      <c r="C335" s="12" t="s">
        <v>398</v>
      </c>
      <c r="D335" s="12" t="s">
        <v>885</v>
      </c>
      <c r="E335" s="12">
        <v>0</v>
      </c>
      <c r="F335" s="12">
        <v>0</v>
      </c>
      <c r="G335" s="12">
        <v>100</v>
      </c>
      <c r="H335" s="12">
        <v>0</v>
      </c>
      <c r="I335" s="12" t="s">
        <v>401</v>
      </c>
      <c r="J335" s="12">
        <v>34.1959</v>
      </c>
      <c r="K335" s="12">
        <v>1</v>
      </c>
      <c r="L335" s="11">
        <f aca="true" t="shared" si="20" ref="L335:L351">A335</f>
        <v>8529</v>
      </c>
      <c r="M335" s="57" t="s">
        <v>918</v>
      </c>
      <c r="N335" s="110">
        <v>248</v>
      </c>
      <c r="O335" s="57">
        <v>251</v>
      </c>
      <c r="P335" s="58">
        <v>40255.645833333336</v>
      </c>
      <c r="Q335" s="59">
        <v>184358000</v>
      </c>
      <c r="R335" s="4">
        <f t="shared" si="18"/>
        <v>30086150424.144</v>
      </c>
      <c r="S335" s="4">
        <f t="shared" si="18"/>
        <v>0</v>
      </c>
      <c r="T335" s="4">
        <f t="shared" si="19"/>
        <v>30450095792.178</v>
      </c>
      <c r="U335" s="4">
        <f t="shared" si="19"/>
        <v>0</v>
      </c>
      <c r="V335" s="4"/>
    </row>
    <row r="336" spans="1:22" ht="15.75">
      <c r="A336" s="52">
        <v>8530</v>
      </c>
      <c r="B336" s="12" t="s">
        <v>1185</v>
      </c>
      <c r="C336" s="12" t="s">
        <v>398</v>
      </c>
      <c r="D336" s="12" t="s">
        <v>885</v>
      </c>
      <c r="E336" s="12">
        <v>0</v>
      </c>
      <c r="F336" s="12">
        <v>0</v>
      </c>
      <c r="G336" s="12">
        <v>100</v>
      </c>
      <c r="H336" s="12">
        <v>0</v>
      </c>
      <c r="I336" s="12" t="s">
        <v>401</v>
      </c>
      <c r="J336" s="12">
        <v>56.123</v>
      </c>
      <c r="K336" s="12">
        <v>1</v>
      </c>
      <c r="L336" s="11">
        <f t="shared" si="20"/>
        <v>8530</v>
      </c>
      <c r="M336" s="57" t="s">
        <v>918</v>
      </c>
      <c r="N336" s="110">
        <v>278</v>
      </c>
      <c r="O336" s="57">
        <v>277</v>
      </c>
      <c r="P336" s="58">
        <v>40255.645833333336</v>
      </c>
      <c r="Q336" s="59">
        <v>217459581</v>
      </c>
      <c r="R336" s="4">
        <f t="shared" si="18"/>
        <v>26525297818.79286</v>
      </c>
      <c r="S336" s="4">
        <f t="shared" si="18"/>
        <v>0</v>
      </c>
      <c r="T336" s="4">
        <f t="shared" si="19"/>
        <v>26429883078.43749</v>
      </c>
      <c r="U336" s="4">
        <f t="shared" si="19"/>
        <v>0</v>
      </c>
      <c r="V336" s="4"/>
    </row>
    <row r="337" spans="1:22" ht="15.75">
      <c r="A337" s="52">
        <v>8541</v>
      </c>
      <c r="B337" s="12" t="s">
        <v>995</v>
      </c>
      <c r="C337" s="12" t="s">
        <v>398</v>
      </c>
      <c r="D337" s="12" t="s">
        <v>885</v>
      </c>
      <c r="E337" s="12">
        <v>0</v>
      </c>
      <c r="F337" s="12">
        <v>0</v>
      </c>
      <c r="G337" s="12">
        <v>100</v>
      </c>
      <c r="H337" s="12">
        <v>0</v>
      </c>
      <c r="I337" s="12" t="s">
        <v>401</v>
      </c>
      <c r="J337" s="12">
        <v>29.9972</v>
      </c>
      <c r="K337" s="12">
        <v>1</v>
      </c>
      <c r="L337" s="11">
        <f t="shared" si="20"/>
        <v>8541</v>
      </c>
      <c r="M337" s="57" t="s">
        <v>918</v>
      </c>
      <c r="N337" s="110">
        <v>255</v>
      </c>
      <c r="O337" s="57">
        <v>260</v>
      </c>
      <c r="P337" s="58">
        <v>40255.645833333336</v>
      </c>
      <c r="Q337" s="59">
        <v>177817664</v>
      </c>
      <c r="R337" s="4">
        <f t="shared" si="18"/>
        <v>31741722642.120964</v>
      </c>
      <c r="S337" s="4">
        <f t="shared" si="18"/>
        <v>0</v>
      </c>
      <c r="T337" s="4">
        <f t="shared" si="19"/>
        <v>32364109360.593925</v>
      </c>
      <c r="U337" s="4">
        <f t="shared" si="19"/>
        <v>0</v>
      </c>
      <c r="V337" s="4"/>
    </row>
    <row r="338" spans="1:22" ht="15.75">
      <c r="A338" s="52">
        <v>8544</v>
      </c>
      <c r="B338" s="12" t="s">
        <v>996</v>
      </c>
      <c r="C338" s="12" t="s">
        <v>398</v>
      </c>
      <c r="D338" s="12" t="s">
        <v>885</v>
      </c>
      <c r="E338" s="12">
        <v>0</v>
      </c>
      <c r="F338" s="12">
        <v>0</v>
      </c>
      <c r="G338" s="12">
        <v>100</v>
      </c>
      <c r="H338" s="12">
        <v>0</v>
      </c>
      <c r="I338" s="12" t="s">
        <v>401</v>
      </c>
      <c r="J338" s="12">
        <v>41.9421</v>
      </c>
      <c r="K338" s="12">
        <v>1</v>
      </c>
      <c r="L338" s="11">
        <f t="shared" si="20"/>
        <v>8544</v>
      </c>
      <c r="M338" s="57" t="s">
        <v>918</v>
      </c>
      <c r="N338" s="110">
        <v>418</v>
      </c>
      <c r="O338" s="57">
        <v>420</v>
      </c>
      <c r="P338" s="58">
        <v>40255.645833333336</v>
      </c>
      <c r="Q338" s="59">
        <v>290855716</v>
      </c>
      <c r="R338" s="4">
        <f t="shared" si="18"/>
        <v>70585453269.13776</v>
      </c>
      <c r="S338" s="4">
        <f t="shared" si="18"/>
        <v>0</v>
      </c>
      <c r="T338" s="4">
        <f t="shared" si="19"/>
        <v>70923182710.61688</v>
      </c>
      <c r="U338" s="4">
        <f t="shared" si="19"/>
        <v>0</v>
      </c>
      <c r="V338" s="4"/>
    </row>
    <row r="339" spans="1:22" ht="15.75">
      <c r="A339" s="52">
        <v>8550</v>
      </c>
      <c r="B339" s="12" t="s">
        <v>997</v>
      </c>
      <c r="C339" s="12" t="s">
        <v>398</v>
      </c>
      <c r="D339" s="12" t="s">
        <v>885</v>
      </c>
      <c r="E339" s="12">
        <v>0</v>
      </c>
      <c r="F339" s="12">
        <v>0</v>
      </c>
      <c r="G339" s="12">
        <v>100</v>
      </c>
      <c r="H339" s="12">
        <v>0</v>
      </c>
      <c r="I339" s="12" t="s">
        <v>401</v>
      </c>
      <c r="J339" s="12">
        <v>28.8749</v>
      </c>
      <c r="K339" s="12">
        <v>1</v>
      </c>
      <c r="L339" s="11">
        <f t="shared" si="20"/>
        <v>8550</v>
      </c>
      <c r="M339" s="57" t="s">
        <v>918</v>
      </c>
      <c r="N339" s="110">
        <v>371</v>
      </c>
      <c r="O339" s="57">
        <v>374</v>
      </c>
      <c r="P339" s="58">
        <v>40255.645833333336</v>
      </c>
      <c r="Q339" s="59">
        <v>114108000</v>
      </c>
      <c r="R339" s="4">
        <f t="shared" si="18"/>
        <v>30110148199.068</v>
      </c>
      <c r="S339" s="4">
        <f t="shared" si="18"/>
        <v>0</v>
      </c>
      <c r="T339" s="4">
        <f t="shared" si="19"/>
        <v>30353626486.392</v>
      </c>
      <c r="U339" s="4">
        <f t="shared" si="19"/>
        <v>0</v>
      </c>
      <c r="V339" s="4"/>
    </row>
    <row r="340" spans="1:22" ht="15.75">
      <c r="A340" s="52">
        <v>8564</v>
      </c>
      <c r="B340" s="12" t="s">
        <v>1187</v>
      </c>
      <c r="C340" s="12" t="s">
        <v>398</v>
      </c>
      <c r="D340" s="12" t="s">
        <v>371</v>
      </c>
      <c r="E340" s="12">
        <v>0</v>
      </c>
      <c r="F340" s="12">
        <v>0</v>
      </c>
      <c r="G340" s="12">
        <v>100</v>
      </c>
      <c r="H340" s="12">
        <v>0</v>
      </c>
      <c r="I340" s="12" t="s">
        <v>401</v>
      </c>
      <c r="J340" s="12">
        <v>29.5181</v>
      </c>
      <c r="K340" s="12">
        <v>1</v>
      </c>
      <c r="L340" s="11">
        <f t="shared" si="20"/>
        <v>8564</v>
      </c>
      <c r="M340" s="57" t="s">
        <v>918</v>
      </c>
      <c r="N340" s="110">
        <v>417</v>
      </c>
      <c r="O340" s="57">
        <v>420</v>
      </c>
      <c r="P340" s="58">
        <v>40255.645833333336</v>
      </c>
      <c r="Q340" s="59">
        <v>144295200</v>
      </c>
      <c r="R340" s="4">
        <f t="shared" si="18"/>
        <v>42409733403.1896</v>
      </c>
      <c r="S340" s="4">
        <f t="shared" si="18"/>
        <v>0</v>
      </c>
      <c r="T340" s="4">
        <f t="shared" si="19"/>
        <v>42714839398.896</v>
      </c>
      <c r="U340" s="4">
        <f t="shared" si="19"/>
        <v>0</v>
      </c>
      <c r="V340" s="4"/>
    </row>
    <row r="341" spans="1:22" ht="15.75">
      <c r="A341" s="52">
        <v>8566</v>
      </c>
      <c r="B341" s="12" t="s">
        <v>204</v>
      </c>
      <c r="C341" s="12" t="s">
        <v>398</v>
      </c>
      <c r="D341" s="12" t="s">
        <v>371</v>
      </c>
      <c r="E341" s="12">
        <v>0</v>
      </c>
      <c r="F341" s="12">
        <v>0</v>
      </c>
      <c r="G341" s="12">
        <v>100</v>
      </c>
      <c r="H341" s="12">
        <v>0</v>
      </c>
      <c r="I341" s="12" t="s">
        <v>401</v>
      </c>
      <c r="J341" s="12">
        <v>58.432</v>
      </c>
      <c r="K341" s="12">
        <v>1</v>
      </c>
      <c r="L341" s="11">
        <f t="shared" si="20"/>
        <v>8566</v>
      </c>
      <c r="M341" s="57" t="s">
        <v>918</v>
      </c>
      <c r="N341" s="110">
        <v>2147</v>
      </c>
      <c r="O341" s="57">
        <v>2198</v>
      </c>
      <c r="P341" s="58">
        <v>40255.645833333336</v>
      </c>
      <c r="Q341" s="59">
        <v>31243223</v>
      </c>
      <c r="R341" s="4">
        <f t="shared" si="18"/>
        <v>27883481764.96608</v>
      </c>
      <c r="S341" s="4">
        <f t="shared" si="18"/>
        <v>0</v>
      </c>
      <c r="T341" s="4">
        <f t="shared" si="19"/>
        <v>28545828094.73472</v>
      </c>
      <c r="U341" s="4">
        <f t="shared" si="19"/>
        <v>0</v>
      </c>
      <c r="V341" s="4"/>
    </row>
    <row r="342" spans="1:22" ht="15.75">
      <c r="A342" s="52">
        <v>8570</v>
      </c>
      <c r="B342" s="12" t="s">
        <v>1966</v>
      </c>
      <c r="C342" s="12" t="s">
        <v>398</v>
      </c>
      <c r="D342" s="12" t="s">
        <v>371</v>
      </c>
      <c r="E342" s="12">
        <v>0</v>
      </c>
      <c r="F342" s="12">
        <v>0</v>
      </c>
      <c r="G342" s="12">
        <v>100</v>
      </c>
      <c r="H342" s="12">
        <v>0</v>
      </c>
      <c r="I342" s="12" t="s">
        <v>401</v>
      </c>
      <c r="J342" s="12">
        <v>52.2969</v>
      </c>
      <c r="K342" s="12">
        <v>1</v>
      </c>
      <c r="L342" s="11">
        <f t="shared" si="20"/>
        <v>8570</v>
      </c>
      <c r="M342" s="57" t="s">
        <v>918</v>
      </c>
      <c r="N342" s="110">
        <v>1036</v>
      </c>
      <c r="O342" s="57">
        <v>1036</v>
      </c>
      <c r="P342" s="58">
        <v>40255.645833333336</v>
      </c>
      <c r="Q342" s="59">
        <v>156967008</v>
      </c>
      <c r="R342" s="4">
        <f t="shared" si="18"/>
        <v>77573741429.80492</v>
      </c>
      <c r="S342" s="4">
        <f t="shared" si="18"/>
        <v>0</v>
      </c>
      <c r="T342" s="4">
        <f t="shared" si="19"/>
        <v>77573741429.80492</v>
      </c>
      <c r="U342" s="4">
        <f t="shared" si="19"/>
        <v>0</v>
      </c>
      <c r="V342" s="4"/>
    </row>
    <row r="343" spans="1:22" ht="15.75">
      <c r="A343" s="52">
        <v>8572</v>
      </c>
      <c r="B343" s="12" t="s">
        <v>205</v>
      </c>
      <c r="C343" s="12" t="s">
        <v>398</v>
      </c>
      <c r="D343" s="12" t="s">
        <v>371</v>
      </c>
      <c r="E343" s="12">
        <v>0</v>
      </c>
      <c r="F343" s="12">
        <v>0</v>
      </c>
      <c r="G343" s="12">
        <v>100</v>
      </c>
      <c r="H343" s="12">
        <v>0</v>
      </c>
      <c r="I343" s="12" t="s">
        <v>401</v>
      </c>
      <c r="J343" s="12">
        <v>79.5076</v>
      </c>
      <c r="K343" s="12">
        <v>1</v>
      </c>
      <c r="L343" s="11">
        <f t="shared" si="20"/>
        <v>8572</v>
      </c>
      <c r="M343" s="57" t="s">
        <v>918</v>
      </c>
      <c r="N343" s="110">
        <v>1492</v>
      </c>
      <c r="O343" s="57">
        <v>1565</v>
      </c>
      <c r="P343" s="58">
        <v>40255.645833333336</v>
      </c>
      <c r="Q343" s="59">
        <v>159628280</v>
      </c>
      <c r="R343" s="4">
        <f t="shared" si="18"/>
        <v>48805805150.87425</v>
      </c>
      <c r="S343" s="4">
        <f t="shared" si="18"/>
        <v>0</v>
      </c>
      <c r="T343" s="4">
        <f t="shared" si="19"/>
        <v>51193756743.37681</v>
      </c>
      <c r="U343" s="4">
        <f t="shared" si="19"/>
        <v>0</v>
      </c>
      <c r="V343" s="4"/>
    </row>
    <row r="344" spans="1:22" ht="15.75">
      <c r="A344" s="52">
        <v>8574</v>
      </c>
      <c r="B344" s="12" t="s">
        <v>206</v>
      </c>
      <c r="C344" s="12" t="s">
        <v>398</v>
      </c>
      <c r="D344" s="12" t="s">
        <v>371</v>
      </c>
      <c r="E344" s="12">
        <v>0</v>
      </c>
      <c r="F344" s="12">
        <v>0</v>
      </c>
      <c r="G344" s="12">
        <v>100</v>
      </c>
      <c r="H344" s="12">
        <v>0</v>
      </c>
      <c r="I344" s="12" t="s">
        <v>401</v>
      </c>
      <c r="J344" s="62">
        <v>43.7194</v>
      </c>
      <c r="K344" s="12">
        <v>1</v>
      </c>
      <c r="L344" s="11">
        <f t="shared" si="20"/>
        <v>8574</v>
      </c>
      <c r="M344" s="57" t="s">
        <v>918</v>
      </c>
      <c r="N344" s="110">
        <v>777</v>
      </c>
      <c r="O344" s="57">
        <v>815</v>
      </c>
      <c r="P344" s="58">
        <v>40255.645833333336</v>
      </c>
      <c r="Q344" s="59">
        <v>134866665</v>
      </c>
      <c r="R344" s="4">
        <f t="shared" si="18"/>
        <v>58977227939.56624</v>
      </c>
      <c r="S344" s="4">
        <f t="shared" si="18"/>
        <v>0</v>
      </c>
      <c r="T344" s="4">
        <f t="shared" si="19"/>
        <v>61861571133.52185</v>
      </c>
      <c r="U344" s="4">
        <f t="shared" si="19"/>
        <v>0</v>
      </c>
      <c r="V344" s="4"/>
    </row>
    <row r="345" spans="1:22" ht="15.75">
      <c r="A345" s="52">
        <v>8586</v>
      </c>
      <c r="B345" s="12" t="s">
        <v>1188</v>
      </c>
      <c r="C345" s="12" t="s">
        <v>398</v>
      </c>
      <c r="D345" s="12" t="s">
        <v>371</v>
      </c>
      <c r="E345" s="12">
        <v>0</v>
      </c>
      <c r="F345" s="12">
        <v>0</v>
      </c>
      <c r="G345" s="12">
        <v>100</v>
      </c>
      <c r="H345" s="12">
        <v>0</v>
      </c>
      <c r="I345" s="12" t="s">
        <v>401</v>
      </c>
      <c r="J345" s="12">
        <v>76.9553</v>
      </c>
      <c r="K345" s="12">
        <v>1</v>
      </c>
      <c r="L345" s="11">
        <f t="shared" si="20"/>
        <v>8586</v>
      </c>
      <c r="M345" s="57" t="s">
        <v>918</v>
      </c>
      <c r="N345" s="110">
        <v>1272</v>
      </c>
      <c r="O345" s="57">
        <v>1300</v>
      </c>
      <c r="P345" s="58">
        <v>40255.645833333336</v>
      </c>
      <c r="Q345" s="59">
        <v>124826552</v>
      </c>
      <c r="R345" s="4">
        <f t="shared" si="18"/>
        <v>36590230433.36237</v>
      </c>
      <c r="S345" s="4">
        <f t="shared" si="18"/>
        <v>0</v>
      </c>
      <c r="T345" s="4">
        <f t="shared" si="19"/>
        <v>37395675757.36721</v>
      </c>
      <c r="U345" s="4">
        <f t="shared" si="19"/>
        <v>0</v>
      </c>
      <c r="V345" s="4"/>
    </row>
    <row r="346" spans="1:22" ht="15.75">
      <c r="A346" s="52">
        <v>8595</v>
      </c>
      <c r="B346" s="12" t="s">
        <v>1967</v>
      </c>
      <c r="C346" s="12" t="s">
        <v>398</v>
      </c>
      <c r="D346" s="12" t="s">
        <v>1968</v>
      </c>
      <c r="E346" s="12">
        <v>0</v>
      </c>
      <c r="F346" s="12">
        <v>0</v>
      </c>
      <c r="G346" s="12">
        <v>17.7326</v>
      </c>
      <c r="H346" s="12">
        <v>82.2674</v>
      </c>
      <c r="I346" s="12" t="s">
        <v>401</v>
      </c>
      <c r="J346" s="12">
        <v>51.485</v>
      </c>
      <c r="K346" s="12">
        <v>1</v>
      </c>
      <c r="L346" s="11">
        <f t="shared" si="20"/>
        <v>8595</v>
      </c>
      <c r="M346" s="57" t="s">
        <v>918</v>
      </c>
      <c r="N346" s="110">
        <v>2364</v>
      </c>
      <c r="O346" s="57">
        <v>2414</v>
      </c>
      <c r="P346" s="58">
        <v>40255.645833333336</v>
      </c>
      <c r="Q346" s="59">
        <v>48294336</v>
      </c>
      <c r="R346" s="4">
        <f t="shared" si="18"/>
        <v>9821823486.20354</v>
      </c>
      <c r="S346" s="4">
        <f t="shared" si="18"/>
        <v>45566689682.78206</v>
      </c>
      <c r="T346" s="4">
        <f t="shared" si="19"/>
        <v>10029560869.58348</v>
      </c>
      <c r="U346" s="4">
        <f t="shared" si="19"/>
        <v>46530452154.92212</v>
      </c>
      <c r="V346" s="4"/>
    </row>
    <row r="347" spans="1:22" ht="15.75">
      <c r="A347" s="52">
        <v>8607</v>
      </c>
      <c r="B347" s="12" t="s">
        <v>211</v>
      </c>
      <c r="C347" s="12" t="s">
        <v>398</v>
      </c>
      <c r="D347" s="12" t="s">
        <v>1968</v>
      </c>
      <c r="E347" s="12">
        <v>0</v>
      </c>
      <c r="F347" s="12">
        <v>0</v>
      </c>
      <c r="G347" s="12">
        <v>7.9035</v>
      </c>
      <c r="H347" s="12">
        <v>92.0965</v>
      </c>
      <c r="I347" s="12" t="s">
        <v>401</v>
      </c>
      <c r="J347" s="12">
        <v>73.3853</v>
      </c>
      <c r="K347" s="12">
        <v>1</v>
      </c>
      <c r="L347" s="11">
        <f t="shared" si="20"/>
        <v>8607</v>
      </c>
      <c r="M347" s="57" t="s">
        <v>918</v>
      </c>
      <c r="N347" s="110">
        <v>95</v>
      </c>
      <c r="O347" s="57">
        <v>96</v>
      </c>
      <c r="P347" s="58">
        <v>40255.645833333336</v>
      </c>
      <c r="Q347" s="59">
        <v>1232357808</v>
      </c>
      <c r="R347" s="4">
        <f t="shared" si="18"/>
        <v>2462643004.3199224</v>
      </c>
      <c r="S347" s="4">
        <f t="shared" si="18"/>
        <v>28696248680.6288</v>
      </c>
      <c r="T347" s="4">
        <f t="shared" si="19"/>
        <v>2488565562.260132</v>
      </c>
      <c r="U347" s="4">
        <f t="shared" si="19"/>
        <v>28998314456.214363</v>
      </c>
      <c r="V347" s="4"/>
    </row>
    <row r="348" spans="1:22" ht="15.75">
      <c r="A348" s="52">
        <v>8609</v>
      </c>
      <c r="B348" s="12" t="s">
        <v>1189</v>
      </c>
      <c r="C348" s="12" t="s">
        <v>398</v>
      </c>
      <c r="D348" s="12" t="s">
        <v>1968</v>
      </c>
      <c r="E348" s="12">
        <v>0</v>
      </c>
      <c r="F348" s="12">
        <v>0</v>
      </c>
      <c r="G348" s="12">
        <v>100</v>
      </c>
      <c r="H348" s="12">
        <v>0</v>
      </c>
      <c r="I348" s="12" t="s">
        <v>401</v>
      </c>
      <c r="J348" s="12">
        <v>32.2987</v>
      </c>
      <c r="K348" s="12">
        <v>1</v>
      </c>
      <c r="L348" s="11">
        <f t="shared" si="20"/>
        <v>8609</v>
      </c>
      <c r="M348" s="57" t="s">
        <v>918</v>
      </c>
      <c r="N348" s="110">
        <v>419</v>
      </c>
      <c r="O348" s="57">
        <v>422</v>
      </c>
      <c r="P348" s="58">
        <v>40255.645833333336</v>
      </c>
      <c r="Q348" s="59">
        <v>208214969</v>
      </c>
      <c r="R348" s="4">
        <f t="shared" si="18"/>
        <v>59064016898.38315</v>
      </c>
      <c r="S348" s="4">
        <f t="shared" si="18"/>
        <v>0</v>
      </c>
      <c r="T348" s="4">
        <f t="shared" si="19"/>
        <v>59486909620.80594</v>
      </c>
      <c r="U348" s="4">
        <f t="shared" si="19"/>
        <v>0</v>
      </c>
      <c r="V348" s="4"/>
    </row>
    <row r="349" spans="1:22" ht="15.75">
      <c r="A349" s="52">
        <v>8613</v>
      </c>
      <c r="B349" s="12" t="s">
        <v>1969</v>
      </c>
      <c r="C349" s="12" t="s">
        <v>398</v>
      </c>
      <c r="D349" s="12" t="s">
        <v>1968</v>
      </c>
      <c r="E349" s="12">
        <v>0</v>
      </c>
      <c r="F349" s="12">
        <v>0</v>
      </c>
      <c r="G349" s="12">
        <v>100</v>
      </c>
      <c r="H349" s="12">
        <v>0</v>
      </c>
      <c r="I349" s="12" t="s">
        <v>401</v>
      </c>
      <c r="J349" s="12">
        <v>29.7824</v>
      </c>
      <c r="K349" s="12">
        <v>1</v>
      </c>
      <c r="L349" s="11">
        <f t="shared" si="20"/>
        <v>8613</v>
      </c>
      <c r="M349" s="57" t="s">
        <v>918</v>
      </c>
      <c r="N349" s="110">
        <v>542</v>
      </c>
      <c r="O349" s="57">
        <v>545</v>
      </c>
      <c r="P349" s="58">
        <v>40255.645833333336</v>
      </c>
      <c r="Q349" s="59">
        <v>75282940</v>
      </c>
      <c r="R349" s="4">
        <f t="shared" si="18"/>
        <v>28651135533.17248</v>
      </c>
      <c r="S349" s="4">
        <f t="shared" si="18"/>
        <v>0</v>
      </c>
      <c r="T349" s="4">
        <f t="shared" si="19"/>
        <v>28809721154.2048</v>
      </c>
      <c r="U349" s="4">
        <f t="shared" si="19"/>
        <v>0</v>
      </c>
      <c r="V349" s="4"/>
    </row>
    <row r="350" spans="1:22" ht="15.75">
      <c r="A350" s="52">
        <v>8616</v>
      </c>
      <c r="B350" s="12" t="s">
        <v>212</v>
      </c>
      <c r="C350" s="12" t="s">
        <v>398</v>
      </c>
      <c r="D350" s="12" t="s">
        <v>1968</v>
      </c>
      <c r="E350" s="12">
        <v>0</v>
      </c>
      <c r="F350" s="12">
        <v>0</v>
      </c>
      <c r="G350" s="12">
        <v>100</v>
      </c>
      <c r="H350" s="12">
        <v>0</v>
      </c>
      <c r="I350" s="12" t="s">
        <v>401</v>
      </c>
      <c r="J350" s="12">
        <v>28.7772</v>
      </c>
      <c r="K350" s="12">
        <v>1</v>
      </c>
      <c r="L350" s="11">
        <f t="shared" si="20"/>
        <v>8616</v>
      </c>
      <c r="M350" s="57" t="s">
        <v>918</v>
      </c>
      <c r="N350" s="110">
        <v>364</v>
      </c>
      <c r="O350" s="57">
        <v>369</v>
      </c>
      <c r="P350" s="58">
        <v>40255.645833333336</v>
      </c>
      <c r="Q350" s="59">
        <v>280582115</v>
      </c>
      <c r="R350" s="4">
        <f t="shared" si="18"/>
        <v>72741191651.20808</v>
      </c>
      <c r="S350" s="4">
        <f t="shared" si="18"/>
        <v>0</v>
      </c>
      <c r="T350" s="4">
        <f t="shared" si="19"/>
        <v>73740383844.2192</v>
      </c>
      <c r="U350" s="4">
        <f t="shared" si="19"/>
        <v>0</v>
      </c>
      <c r="V350" s="4"/>
    </row>
    <row r="351" spans="1:22" ht="15.75">
      <c r="A351" s="52">
        <v>8628</v>
      </c>
      <c r="B351" s="12" t="s">
        <v>1970</v>
      </c>
      <c r="C351" s="12" t="s">
        <v>398</v>
      </c>
      <c r="D351" s="12" t="s">
        <v>1968</v>
      </c>
      <c r="E351" s="12">
        <v>0</v>
      </c>
      <c r="F351" s="12">
        <v>0</v>
      </c>
      <c r="G351" s="12">
        <v>0</v>
      </c>
      <c r="H351" s="12">
        <v>100</v>
      </c>
      <c r="I351" s="12" t="s">
        <v>401</v>
      </c>
      <c r="J351" s="12">
        <v>58.5795</v>
      </c>
      <c r="K351" s="12">
        <v>1</v>
      </c>
      <c r="L351" s="11">
        <f t="shared" si="20"/>
        <v>8628</v>
      </c>
      <c r="M351" s="57" t="s">
        <v>918</v>
      </c>
      <c r="N351" s="110">
        <v>642</v>
      </c>
      <c r="O351" s="57">
        <v>639</v>
      </c>
      <c r="P351" s="58">
        <v>40255.645833333336</v>
      </c>
      <c r="Q351" s="59">
        <v>269260202</v>
      </c>
      <c r="R351" s="4">
        <f t="shared" si="18"/>
        <v>0</v>
      </c>
      <c r="S351" s="4">
        <f t="shared" si="18"/>
        <v>71601567904.3612</v>
      </c>
      <c r="T351" s="4">
        <f t="shared" si="19"/>
        <v>0</v>
      </c>
      <c r="U351" s="4">
        <f t="shared" si="19"/>
        <v>71266981138.45299</v>
      </c>
      <c r="V351" s="4"/>
    </row>
    <row r="352" spans="1:17" ht="13.5">
      <c r="A352">
        <v>8698</v>
      </c>
      <c r="B352" t="s">
        <v>1190</v>
      </c>
      <c r="C352" t="s">
        <v>398</v>
      </c>
      <c r="D352" t="s">
        <v>1968</v>
      </c>
      <c r="E352">
        <v>0</v>
      </c>
      <c r="F352">
        <v>0</v>
      </c>
      <c r="G352">
        <v>0</v>
      </c>
      <c r="H352">
        <v>100</v>
      </c>
      <c r="I352" t="s">
        <v>401</v>
      </c>
      <c r="J352">
        <v>54.2602</v>
      </c>
      <c r="K352">
        <v>1</v>
      </c>
      <c r="L352" s="11">
        <f aca="true" t="shared" si="21" ref="L352:L402">A352</f>
        <v>8698</v>
      </c>
      <c r="M352" s="57" t="s">
        <v>918</v>
      </c>
      <c r="N352" s="110">
        <v>47200</v>
      </c>
      <c r="O352" s="57">
        <v>47100</v>
      </c>
      <c r="P352" s="58">
        <v>40255.645833333336</v>
      </c>
      <c r="Q352" s="59">
        <v>2991120</v>
      </c>
    </row>
    <row r="353" spans="1:17" ht="13.5">
      <c r="A353">
        <v>8703</v>
      </c>
      <c r="B353" t="s">
        <v>213</v>
      </c>
      <c r="C353" t="s">
        <v>398</v>
      </c>
      <c r="D353" t="s">
        <v>1968</v>
      </c>
      <c r="E353">
        <v>0</v>
      </c>
      <c r="F353">
        <v>0</v>
      </c>
      <c r="G353">
        <v>0</v>
      </c>
      <c r="H353">
        <v>100</v>
      </c>
      <c r="I353" t="s">
        <v>401</v>
      </c>
      <c r="J353">
        <v>64.8307</v>
      </c>
      <c r="K353">
        <v>1</v>
      </c>
      <c r="L353" s="11">
        <f t="shared" si="21"/>
        <v>8703</v>
      </c>
      <c r="M353" s="57" t="s">
        <v>918</v>
      </c>
      <c r="N353" s="110">
        <v>100300</v>
      </c>
      <c r="O353" s="57">
        <v>100000</v>
      </c>
      <c r="P353" s="58">
        <v>40255.645833333336</v>
      </c>
      <c r="Q353" s="59">
        <v>975687</v>
      </c>
    </row>
    <row r="354" spans="1:17" ht="13.5">
      <c r="A354">
        <v>8759</v>
      </c>
      <c r="B354" t="s">
        <v>1972</v>
      </c>
      <c r="C354" t="s">
        <v>398</v>
      </c>
      <c r="D354" t="s">
        <v>1971</v>
      </c>
      <c r="E354">
        <v>0</v>
      </c>
      <c r="F354">
        <v>0</v>
      </c>
      <c r="G354">
        <v>100</v>
      </c>
      <c r="H354">
        <v>0</v>
      </c>
      <c r="I354" t="s">
        <v>401</v>
      </c>
      <c r="J354">
        <v>58.2853</v>
      </c>
      <c r="K354">
        <v>1</v>
      </c>
      <c r="L354" s="11">
        <f t="shared" si="21"/>
        <v>8759</v>
      </c>
      <c r="M354" s="57" t="s">
        <v>918</v>
      </c>
      <c r="N354" s="110">
        <v>460</v>
      </c>
      <c r="O354" s="57">
        <v>463</v>
      </c>
      <c r="P354" s="58">
        <v>40255.645833333336</v>
      </c>
      <c r="Q354" s="59">
        <v>390055814</v>
      </c>
    </row>
    <row r="355" spans="1:17" ht="13.5">
      <c r="A355">
        <v>8803</v>
      </c>
      <c r="B355" t="s">
        <v>1973</v>
      </c>
      <c r="C355" t="s">
        <v>398</v>
      </c>
      <c r="D355" t="s">
        <v>408</v>
      </c>
      <c r="E355">
        <v>0</v>
      </c>
      <c r="F355">
        <v>0</v>
      </c>
      <c r="G355">
        <v>100</v>
      </c>
      <c r="H355">
        <v>0</v>
      </c>
      <c r="I355" t="s">
        <v>401</v>
      </c>
      <c r="J355">
        <v>5.6563</v>
      </c>
      <c r="K355">
        <v>1</v>
      </c>
      <c r="L355" s="11">
        <f t="shared" si="21"/>
        <v>8803</v>
      </c>
      <c r="M355" s="57" t="s">
        <v>918</v>
      </c>
      <c r="N355" s="110">
        <v>304</v>
      </c>
      <c r="O355" s="57">
        <v>310</v>
      </c>
      <c r="P355" s="58">
        <v>40255.645833333336</v>
      </c>
      <c r="Q355" s="59">
        <v>149503980</v>
      </c>
    </row>
    <row r="356" spans="1:17" ht="13.5">
      <c r="A356">
        <v>8806</v>
      </c>
      <c r="B356" t="s">
        <v>1979</v>
      </c>
      <c r="C356" t="s">
        <v>404</v>
      </c>
      <c r="D356" t="s">
        <v>408</v>
      </c>
      <c r="E356">
        <v>0</v>
      </c>
      <c r="F356">
        <v>0</v>
      </c>
      <c r="G356">
        <v>100</v>
      </c>
      <c r="H356">
        <v>0</v>
      </c>
      <c r="I356" t="s">
        <v>401</v>
      </c>
      <c r="J356">
        <v>62.7928</v>
      </c>
      <c r="K356">
        <v>1</v>
      </c>
      <c r="L356" s="11">
        <f t="shared" si="21"/>
        <v>8806</v>
      </c>
      <c r="M356" s="57" t="s">
        <v>919</v>
      </c>
      <c r="N356" s="110">
        <v>700</v>
      </c>
      <c r="O356" s="57">
        <v>713</v>
      </c>
      <c r="P356" s="58">
        <v>40255.645833333336</v>
      </c>
      <c r="Q356" s="59">
        <v>116851049</v>
      </c>
    </row>
    <row r="357" spans="1:17" ht="13.5">
      <c r="A357">
        <v>8840</v>
      </c>
      <c r="B357" t="s">
        <v>214</v>
      </c>
      <c r="C357" t="s">
        <v>398</v>
      </c>
      <c r="D357" t="s">
        <v>408</v>
      </c>
      <c r="E357">
        <v>0</v>
      </c>
      <c r="F357">
        <v>0</v>
      </c>
      <c r="G357">
        <v>10.8229</v>
      </c>
      <c r="H357">
        <v>89.1771</v>
      </c>
      <c r="I357" t="s">
        <v>401</v>
      </c>
      <c r="J357">
        <v>48.6401</v>
      </c>
      <c r="K357">
        <v>1</v>
      </c>
      <c r="L357" s="11">
        <f t="shared" si="21"/>
        <v>8840</v>
      </c>
      <c r="M357" s="57" t="s">
        <v>918</v>
      </c>
      <c r="N357" s="110">
        <v>178</v>
      </c>
      <c r="O357" s="57">
        <v>183</v>
      </c>
      <c r="P357" s="58">
        <v>40255.645833333336</v>
      </c>
      <c r="Q357" s="59">
        <v>445337738</v>
      </c>
    </row>
    <row r="358" spans="1:17" ht="13.5">
      <c r="A358">
        <v>8841</v>
      </c>
      <c r="B358" t="s">
        <v>1980</v>
      </c>
      <c r="C358" t="s">
        <v>398</v>
      </c>
      <c r="D358" t="s">
        <v>408</v>
      </c>
      <c r="E358">
        <v>0</v>
      </c>
      <c r="F358">
        <v>0</v>
      </c>
      <c r="G358">
        <v>100</v>
      </c>
      <c r="H358">
        <v>0</v>
      </c>
      <c r="I358" t="s">
        <v>401</v>
      </c>
      <c r="J358">
        <v>48.6679</v>
      </c>
      <c r="K358">
        <v>1</v>
      </c>
      <c r="L358" s="11">
        <f t="shared" si="21"/>
        <v>8841</v>
      </c>
      <c r="M358" s="57" t="s">
        <v>918</v>
      </c>
      <c r="N358" s="110">
        <v>345</v>
      </c>
      <c r="O358" s="57">
        <v>355</v>
      </c>
      <c r="P358" s="58">
        <v>40255.645833333336</v>
      </c>
      <c r="Q358" s="59">
        <v>136879352</v>
      </c>
    </row>
    <row r="359" spans="1:17" ht="13.5">
      <c r="A359">
        <v>8848</v>
      </c>
      <c r="B359" t="s">
        <v>1191</v>
      </c>
      <c r="C359" t="s">
        <v>398</v>
      </c>
      <c r="D359" t="s">
        <v>408</v>
      </c>
      <c r="E359">
        <v>0</v>
      </c>
      <c r="F359">
        <v>0</v>
      </c>
      <c r="G359">
        <v>100</v>
      </c>
      <c r="H359">
        <v>0</v>
      </c>
      <c r="I359" t="s">
        <v>401</v>
      </c>
      <c r="J359">
        <v>22.4205</v>
      </c>
      <c r="K359">
        <v>1</v>
      </c>
      <c r="L359" s="11">
        <f t="shared" si="21"/>
        <v>8848</v>
      </c>
      <c r="M359" s="57" t="s">
        <v>918</v>
      </c>
      <c r="N359" s="110">
        <v>468</v>
      </c>
      <c r="O359" s="57">
        <v>466</v>
      </c>
      <c r="P359" s="58">
        <v>40255.645833333336</v>
      </c>
      <c r="Q359" s="59">
        <v>159543915</v>
      </c>
    </row>
    <row r="360" spans="1:17" ht="13.5">
      <c r="A360">
        <v>8870</v>
      </c>
      <c r="B360" t="s">
        <v>215</v>
      </c>
      <c r="C360" t="s">
        <v>398</v>
      </c>
      <c r="D360" t="s">
        <v>408</v>
      </c>
      <c r="E360">
        <v>0</v>
      </c>
      <c r="F360">
        <v>0</v>
      </c>
      <c r="G360">
        <v>0</v>
      </c>
      <c r="H360">
        <v>100</v>
      </c>
      <c r="I360" t="s">
        <v>401</v>
      </c>
      <c r="J360">
        <v>74.8882</v>
      </c>
      <c r="K360">
        <v>1</v>
      </c>
      <c r="L360" s="11">
        <f t="shared" si="21"/>
        <v>8870</v>
      </c>
      <c r="M360" s="57" t="s">
        <v>918</v>
      </c>
      <c r="N360" s="110">
        <v>3880</v>
      </c>
      <c r="O360" s="57">
        <v>3900</v>
      </c>
      <c r="P360" s="58">
        <v>40255.645833333336</v>
      </c>
      <c r="Q360" s="59">
        <v>28600000</v>
      </c>
    </row>
    <row r="361" spans="1:17" ht="13.5">
      <c r="A361">
        <v>8871</v>
      </c>
      <c r="B361" t="s">
        <v>216</v>
      </c>
      <c r="C361" t="s">
        <v>398</v>
      </c>
      <c r="D361" t="s">
        <v>408</v>
      </c>
      <c r="E361">
        <v>0</v>
      </c>
      <c r="F361">
        <v>0</v>
      </c>
      <c r="G361">
        <v>100</v>
      </c>
      <c r="H361">
        <v>0</v>
      </c>
      <c r="I361" t="s">
        <v>401</v>
      </c>
      <c r="J361">
        <v>58.1663</v>
      </c>
      <c r="K361">
        <v>1</v>
      </c>
      <c r="L361" s="11">
        <f t="shared" si="21"/>
        <v>8871</v>
      </c>
      <c r="M361" s="57" t="s">
        <v>918</v>
      </c>
      <c r="N361" s="110">
        <v>2495</v>
      </c>
      <c r="O361" s="57">
        <v>2480</v>
      </c>
      <c r="P361" s="58">
        <v>40255.645833333336</v>
      </c>
      <c r="Q361" s="59">
        <v>35784000</v>
      </c>
    </row>
    <row r="362" spans="1:17" ht="13.5">
      <c r="A362">
        <v>8895</v>
      </c>
      <c r="B362" t="s">
        <v>217</v>
      </c>
      <c r="C362" t="s">
        <v>398</v>
      </c>
      <c r="D362" t="s">
        <v>408</v>
      </c>
      <c r="E362">
        <v>0</v>
      </c>
      <c r="F362">
        <v>0</v>
      </c>
      <c r="G362">
        <v>0</v>
      </c>
      <c r="H362">
        <v>100</v>
      </c>
      <c r="I362" t="s">
        <v>401</v>
      </c>
      <c r="J362">
        <v>46.7147</v>
      </c>
      <c r="K362">
        <v>1</v>
      </c>
      <c r="L362" s="11">
        <f t="shared" si="21"/>
        <v>8895</v>
      </c>
      <c r="M362" s="57" t="s">
        <v>918</v>
      </c>
      <c r="N362" s="110">
        <v>914</v>
      </c>
      <c r="O362" s="57">
        <v>939</v>
      </c>
      <c r="P362" s="58">
        <v>40255.645833333336</v>
      </c>
      <c r="Q362" s="59">
        <v>65628000</v>
      </c>
    </row>
    <row r="363" spans="1:17" ht="13.5">
      <c r="A363">
        <v>8933</v>
      </c>
      <c r="B363" t="s">
        <v>220</v>
      </c>
      <c r="C363" t="s">
        <v>398</v>
      </c>
      <c r="D363" t="s">
        <v>408</v>
      </c>
      <c r="E363">
        <v>0</v>
      </c>
      <c r="F363">
        <v>0</v>
      </c>
      <c r="G363">
        <v>0</v>
      </c>
      <c r="H363">
        <v>100</v>
      </c>
      <c r="I363" t="s">
        <v>401</v>
      </c>
      <c r="J363">
        <v>67.447</v>
      </c>
      <c r="K363">
        <v>1</v>
      </c>
      <c r="L363" s="11">
        <f t="shared" si="21"/>
        <v>8933</v>
      </c>
      <c r="M363" s="57" t="s">
        <v>918</v>
      </c>
      <c r="N363" s="110">
        <v>77500</v>
      </c>
      <c r="O363" s="57">
        <v>77100</v>
      </c>
      <c r="P363" s="58">
        <v>40255.645833333336</v>
      </c>
      <c r="Q363" s="59">
        <v>3291200</v>
      </c>
    </row>
    <row r="364" spans="1:17" ht="13.5">
      <c r="A364">
        <v>9065</v>
      </c>
      <c r="B364" t="s">
        <v>1983</v>
      </c>
      <c r="C364" t="s">
        <v>398</v>
      </c>
      <c r="D364" t="s">
        <v>1981</v>
      </c>
      <c r="E364">
        <v>0</v>
      </c>
      <c r="F364">
        <v>0</v>
      </c>
      <c r="G364">
        <v>13.0192</v>
      </c>
      <c r="H364">
        <v>86.9808</v>
      </c>
      <c r="I364" t="s">
        <v>401</v>
      </c>
      <c r="J364">
        <v>29.6701</v>
      </c>
      <c r="K364">
        <v>1</v>
      </c>
      <c r="L364" s="11">
        <f t="shared" si="21"/>
        <v>9065</v>
      </c>
      <c r="M364" s="57" t="s">
        <v>918</v>
      </c>
      <c r="N364" s="110">
        <v>424</v>
      </c>
      <c r="O364" s="57">
        <v>428</v>
      </c>
      <c r="P364" s="58">
        <v>40255.645833333336</v>
      </c>
      <c r="Q364" s="59">
        <v>326078030</v>
      </c>
    </row>
    <row r="365" spans="1:17" ht="13.5">
      <c r="A365">
        <v>9072</v>
      </c>
      <c r="B365" t="s">
        <v>1192</v>
      </c>
      <c r="C365" t="s">
        <v>398</v>
      </c>
      <c r="D365" t="s">
        <v>1981</v>
      </c>
      <c r="E365">
        <v>0</v>
      </c>
      <c r="F365">
        <v>0</v>
      </c>
      <c r="G365">
        <v>100</v>
      </c>
      <c r="H365">
        <v>0</v>
      </c>
      <c r="I365" t="s">
        <v>401</v>
      </c>
      <c r="J365">
        <v>57.5086</v>
      </c>
      <c r="K365">
        <v>1</v>
      </c>
      <c r="L365" s="11">
        <f t="shared" si="21"/>
        <v>9072</v>
      </c>
      <c r="M365" s="57" t="s">
        <v>918</v>
      </c>
      <c r="N365" s="110">
        <v>1040</v>
      </c>
      <c r="O365" s="57">
        <v>1068</v>
      </c>
      <c r="P365" s="58">
        <v>40255.645833333336</v>
      </c>
      <c r="Q365" s="59">
        <v>74239892</v>
      </c>
    </row>
    <row r="366" spans="1:17" ht="13.5">
      <c r="A366">
        <v>9075</v>
      </c>
      <c r="B366" t="s">
        <v>1984</v>
      </c>
      <c r="C366" t="s">
        <v>398</v>
      </c>
      <c r="D366" t="s">
        <v>1981</v>
      </c>
      <c r="E366">
        <v>0</v>
      </c>
      <c r="F366">
        <v>0</v>
      </c>
      <c r="G366">
        <v>100</v>
      </c>
      <c r="H366">
        <v>0</v>
      </c>
      <c r="I366" t="s">
        <v>401</v>
      </c>
      <c r="J366">
        <v>63.452</v>
      </c>
      <c r="K366">
        <v>1</v>
      </c>
      <c r="L366" s="11">
        <f t="shared" si="21"/>
        <v>9075</v>
      </c>
      <c r="M366" s="57" t="s">
        <v>918</v>
      </c>
      <c r="N366" s="110">
        <v>463</v>
      </c>
      <c r="O366" s="57">
        <v>467</v>
      </c>
      <c r="P366" s="58">
        <v>40255.645833333336</v>
      </c>
      <c r="Q366" s="59">
        <v>278851815</v>
      </c>
    </row>
    <row r="367" spans="1:17" ht="13.5">
      <c r="A367">
        <v>9076</v>
      </c>
      <c r="B367" t="s">
        <v>1985</v>
      </c>
      <c r="C367" t="s">
        <v>398</v>
      </c>
      <c r="D367" t="s">
        <v>1981</v>
      </c>
      <c r="E367">
        <v>0</v>
      </c>
      <c r="F367">
        <v>0</v>
      </c>
      <c r="G367">
        <v>100</v>
      </c>
      <c r="H367">
        <v>0</v>
      </c>
      <c r="I367" t="s">
        <v>401</v>
      </c>
      <c r="J367">
        <v>41.062</v>
      </c>
      <c r="K367">
        <v>1</v>
      </c>
      <c r="L367" s="11">
        <f t="shared" si="21"/>
        <v>9076</v>
      </c>
      <c r="M367" s="57" t="s">
        <v>918</v>
      </c>
      <c r="N367" s="110">
        <v>647</v>
      </c>
      <c r="O367" s="57">
        <v>657</v>
      </c>
      <c r="P367" s="58">
        <v>40255.645833333336</v>
      </c>
      <c r="Q367" s="59">
        <v>207679783</v>
      </c>
    </row>
    <row r="368" spans="1:17" ht="13.5">
      <c r="A368">
        <v>9086</v>
      </c>
      <c r="B368" t="s">
        <v>1193</v>
      </c>
      <c r="C368" t="s">
        <v>398</v>
      </c>
      <c r="D368" t="s">
        <v>1981</v>
      </c>
      <c r="E368">
        <v>0</v>
      </c>
      <c r="F368">
        <v>0</v>
      </c>
      <c r="G368">
        <v>100</v>
      </c>
      <c r="H368">
        <v>0</v>
      </c>
      <c r="I368" t="s">
        <v>401</v>
      </c>
      <c r="J368">
        <v>62.1234</v>
      </c>
      <c r="K368">
        <v>1</v>
      </c>
      <c r="L368" s="11">
        <f t="shared" si="21"/>
        <v>9086</v>
      </c>
      <c r="M368" s="57" t="s">
        <v>918</v>
      </c>
      <c r="N368" s="110">
        <v>1310</v>
      </c>
      <c r="O368" s="57">
        <v>1300</v>
      </c>
      <c r="P368" s="58">
        <v>40255.645833333336</v>
      </c>
      <c r="Q368" s="59">
        <v>111776714</v>
      </c>
    </row>
    <row r="369" spans="1:17" ht="13.5">
      <c r="A369">
        <v>9119</v>
      </c>
      <c r="B369" t="s">
        <v>1987</v>
      </c>
      <c r="C369" t="s">
        <v>398</v>
      </c>
      <c r="D369" t="s">
        <v>1986</v>
      </c>
      <c r="E369">
        <v>0</v>
      </c>
      <c r="F369">
        <v>0</v>
      </c>
      <c r="G369">
        <v>100</v>
      </c>
      <c r="H369">
        <v>0</v>
      </c>
      <c r="I369" t="s">
        <v>401</v>
      </c>
      <c r="J369">
        <v>32.81</v>
      </c>
      <c r="K369">
        <v>1</v>
      </c>
      <c r="L369" s="11">
        <f t="shared" si="21"/>
        <v>9119</v>
      </c>
      <c r="M369" s="57" t="s">
        <v>918</v>
      </c>
      <c r="N369" s="110">
        <v>562</v>
      </c>
      <c r="O369" s="57">
        <v>556</v>
      </c>
      <c r="P369" s="58">
        <v>40255.645833333336</v>
      </c>
      <c r="Q369" s="59">
        <v>111075980</v>
      </c>
    </row>
    <row r="370" spans="1:17" ht="13.5">
      <c r="A370">
        <v>9302</v>
      </c>
      <c r="B370" t="s">
        <v>1988</v>
      </c>
      <c r="C370" t="s">
        <v>398</v>
      </c>
      <c r="D370" t="s">
        <v>1982</v>
      </c>
      <c r="E370">
        <v>0</v>
      </c>
      <c r="F370">
        <v>0</v>
      </c>
      <c r="G370">
        <v>100</v>
      </c>
      <c r="H370">
        <v>0</v>
      </c>
      <c r="I370" t="s">
        <v>401</v>
      </c>
      <c r="J370">
        <v>28.0224</v>
      </c>
      <c r="K370">
        <v>1</v>
      </c>
      <c r="L370" s="11">
        <f t="shared" si="21"/>
        <v>9302</v>
      </c>
      <c r="M370" s="57" t="s">
        <v>918</v>
      </c>
      <c r="N370" s="110">
        <v>346</v>
      </c>
      <c r="O370" s="57">
        <v>345</v>
      </c>
      <c r="P370" s="58">
        <v>40255.645833333336</v>
      </c>
      <c r="Q370" s="59">
        <v>124415013</v>
      </c>
    </row>
    <row r="371" spans="1:17" ht="13.5">
      <c r="A371">
        <v>9303</v>
      </c>
      <c r="B371" t="s">
        <v>1989</v>
      </c>
      <c r="C371" t="s">
        <v>398</v>
      </c>
      <c r="D371" t="s">
        <v>1982</v>
      </c>
      <c r="E371">
        <v>0</v>
      </c>
      <c r="F371">
        <v>0</v>
      </c>
      <c r="G371">
        <v>100</v>
      </c>
      <c r="H371">
        <v>0</v>
      </c>
      <c r="I371" t="s">
        <v>401</v>
      </c>
      <c r="J371">
        <v>35.922</v>
      </c>
      <c r="K371">
        <v>1</v>
      </c>
      <c r="L371" s="11">
        <f t="shared" si="21"/>
        <v>9303</v>
      </c>
      <c r="M371" s="57" t="s">
        <v>918</v>
      </c>
      <c r="N371" s="110">
        <v>410</v>
      </c>
      <c r="O371" s="57">
        <v>410</v>
      </c>
      <c r="P371" s="58">
        <v>40255.645833333336</v>
      </c>
      <c r="Q371" s="59">
        <v>195936231</v>
      </c>
    </row>
    <row r="372" spans="1:17" ht="13.5">
      <c r="A372">
        <v>9375</v>
      </c>
      <c r="B372" t="s">
        <v>221</v>
      </c>
      <c r="C372" t="s">
        <v>398</v>
      </c>
      <c r="D372" t="s">
        <v>1982</v>
      </c>
      <c r="E372">
        <v>0</v>
      </c>
      <c r="F372">
        <v>0</v>
      </c>
      <c r="G372">
        <v>60.6823</v>
      </c>
      <c r="H372">
        <v>39.3177</v>
      </c>
      <c r="I372" t="s">
        <v>401</v>
      </c>
      <c r="J372">
        <v>54.8568</v>
      </c>
      <c r="K372">
        <v>1</v>
      </c>
      <c r="L372" s="11">
        <f t="shared" si="21"/>
        <v>9375</v>
      </c>
      <c r="M372" s="57" t="s">
        <v>918</v>
      </c>
      <c r="N372" s="110">
        <v>2290</v>
      </c>
      <c r="O372" s="57">
        <v>2303</v>
      </c>
      <c r="P372" s="58">
        <v>40255.645833333336</v>
      </c>
      <c r="Q372" s="59">
        <v>36000000</v>
      </c>
    </row>
    <row r="373" spans="1:17" ht="13.5">
      <c r="A373">
        <v>9409</v>
      </c>
      <c r="B373" t="s">
        <v>1990</v>
      </c>
      <c r="C373" t="s">
        <v>398</v>
      </c>
      <c r="D373" t="s">
        <v>422</v>
      </c>
      <c r="E373">
        <v>0</v>
      </c>
      <c r="F373">
        <v>0</v>
      </c>
      <c r="G373">
        <v>100</v>
      </c>
      <c r="H373">
        <v>0</v>
      </c>
      <c r="I373" t="s">
        <v>401</v>
      </c>
      <c r="J373">
        <v>62.1424</v>
      </c>
      <c r="K373">
        <v>1</v>
      </c>
      <c r="L373" s="11">
        <f t="shared" si="21"/>
        <v>9409</v>
      </c>
      <c r="M373" s="57" t="s">
        <v>918</v>
      </c>
      <c r="N373" s="110">
        <v>142800</v>
      </c>
      <c r="O373" s="57">
        <v>143300</v>
      </c>
      <c r="P373" s="58">
        <v>40255.645833333336</v>
      </c>
      <c r="Q373" s="59">
        <v>1006000</v>
      </c>
    </row>
    <row r="374" spans="1:17" ht="13.5">
      <c r="A374">
        <v>9412</v>
      </c>
      <c r="B374" t="s">
        <v>1195</v>
      </c>
      <c r="C374" t="s">
        <v>398</v>
      </c>
      <c r="D374" t="s">
        <v>422</v>
      </c>
      <c r="E374">
        <v>0</v>
      </c>
      <c r="F374">
        <v>0</v>
      </c>
      <c r="G374">
        <v>100</v>
      </c>
      <c r="H374">
        <v>0</v>
      </c>
      <c r="I374" t="s">
        <v>401</v>
      </c>
      <c r="J374">
        <v>61.3633</v>
      </c>
      <c r="K374">
        <v>1</v>
      </c>
      <c r="L374" s="11">
        <f t="shared" si="21"/>
        <v>9412</v>
      </c>
      <c r="M374" s="57" t="s">
        <v>918</v>
      </c>
      <c r="N374" s="110">
        <v>41050</v>
      </c>
      <c r="O374" s="57">
        <v>42000</v>
      </c>
      <c r="P374" s="58">
        <v>40255.645833333336</v>
      </c>
      <c r="Q374" s="59">
        <v>3446037</v>
      </c>
    </row>
    <row r="375" spans="1:17" ht="13.5">
      <c r="A375">
        <v>9427</v>
      </c>
      <c r="B375" t="s">
        <v>1991</v>
      </c>
      <c r="C375" t="s">
        <v>398</v>
      </c>
      <c r="D375" t="s">
        <v>422</v>
      </c>
      <c r="E375">
        <v>0</v>
      </c>
      <c r="F375">
        <v>0</v>
      </c>
      <c r="G375">
        <v>0</v>
      </c>
      <c r="H375">
        <v>100</v>
      </c>
      <c r="I375" t="s">
        <v>401</v>
      </c>
      <c r="J375">
        <v>14.1745</v>
      </c>
      <c r="K375">
        <v>1</v>
      </c>
      <c r="L375" s="11">
        <f t="shared" si="21"/>
        <v>9427</v>
      </c>
      <c r="M375" s="57" t="s">
        <v>918</v>
      </c>
      <c r="N375" s="110">
        <v>69600</v>
      </c>
      <c r="O375" s="57">
        <v>68900</v>
      </c>
      <c r="P375" s="58">
        <v>40255.645833333336</v>
      </c>
      <c r="Q375" s="59">
        <v>1447446</v>
      </c>
    </row>
    <row r="376" spans="1:17" ht="13.5">
      <c r="A376">
        <v>9435</v>
      </c>
      <c r="B376" t="s">
        <v>1992</v>
      </c>
      <c r="C376" t="s">
        <v>398</v>
      </c>
      <c r="D376" t="s">
        <v>422</v>
      </c>
      <c r="E376">
        <v>0</v>
      </c>
      <c r="F376">
        <v>0</v>
      </c>
      <c r="G376">
        <v>100</v>
      </c>
      <c r="H376">
        <v>0</v>
      </c>
      <c r="I376" t="s">
        <v>401</v>
      </c>
      <c r="J376">
        <v>58.5138</v>
      </c>
      <c r="K376">
        <v>1</v>
      </c>
      <c r="L376" s="11">
        <f t="shared" si="21"/>
        <v>9435</v>
      </c>
      <c r="M376" s="57" t="s">
        <v>918</v>
      </c>
      <c r="N376" s="110">
        <v>1503</v>
      </c>
      <c r="O376" s="57">
        <v>1500</v>
      </c>
      <c r="P376" s="58">
        <v>40255.645833333336</v>
      </c>
      <c r="Q376" s="59">
        <v>58349642</v>
      </c>
    </row>
    <row r="377" spans="1:17" ht="13.5">
      <c r="A377">
        <v>9474</v>
      </c>
      <c r="B377" t="s">
        <v>222</v>
      </c>
      <c r="C377" t="s">
        <v>398</v>
      </c>
      <c r="D377" t="s">
        <v>422</v>
      </c>
      <c r="E377">
        <v>0</v>
      </c>
      <c r="F377">
        <v>0</v>
      </c>
      <c r="G377">
        <v>0</v>
      </c>
      <c r="H377">
        <v>100</v>
      </c>
      <c r="I377" t="s">
        <v>401</v>
      </c>
      <c r="J377">
        <v>49.9507</v>
      </c>
      <c r="K377">
        <v>1</v>
      </c>
      <c r="L377" s="11">
        <f t="shared" si="21"/>
        <v>9474</v>
      </c>
      <c r="M377" s="57" t="s">
        <v>918</v>
      </c>
      <c r="N377" s="110">
        <v>1076</v>
      </c>
      <c r="O377" s="57">
        <v>1080</v>
      </c>
      <c r="P377" s="58">
        <v>40255.645833333336</v>
      </c>
      <c r="Q377" s="59">
        <v>38200910</v>
      </c>
    </row>
    <row r="378" spans="1:17" ht="13.5">
      <c r="A378">
        <v>9477</v>
      </c>
      <c r="B378" t="s">
        <v>1993</v>
      </c>
      <c r="C378" t="s">
        <v>398</v>
      </c>
      <c r="D378" t="s">
        <v>422</v>
      </c>
      <c r="E378">
        <v>0</v>
      </c>
      <c r="F378">
        <v>0</v>
      </c>
      <c r="G378">
        <v>100</v>
      </c>
      <c r="H378">
        <v>0</v>
      </c>
      <c r="I378" t="s">
        <v>401</v>
      </c>
      <c r="J378">
        <v>44.3807</v>
      </c>
      <c r="K378">
        <v>1</v>
      </c>
      <c r="L378" s="11">
        <f t="shared" si="21"/>
        <v>9477</v>
      </c>
      <c r="M378" s="57" t="s">
        <v>918</v>
      </c>
      <c r="N378" s="110">
        <v>2097</v>
      </c>
      <c r="O378" s="57">
        <v>2072</v>
      </c>
      <c r="P378" s="58">
        <v>40255.645833333336</v>
      </c>
      <c r="Q378" s="59">
        <v>27260800</v>
      </c>
    </row>
    <row r="379" spans="1:17" ht="13.5">
      <c r="A379">
        <v>9511</v>
      </c>
      <c r="B379" t="s">
        <v>1995</v>
      </c>
      <c r="C379" t="s">
        <v>398</v>
      </c>
      <c r="D379" t="s">
        <v>1994</v>
      </c>
      <c r="E379">
        <v>0</v>
      </c>
      <c r="F379">
        <v>0</v>
      </c>
      <c r="G379">
        <v>100</v>
      </c>
      <c r="H379">
        <v>0</v>
      </c>
      <c r="I379" t="s">
        <v>401</v>
      </c>
      <c r="J379">
        <v>27.9808</v>
      </c>
      <c r="K379">
        <v>1</v>
      </c>
      <c r="L379" s="11">
        <f t="shared" si="21"/>
        <v>9511</v>
      </c>
      <c r="M379" s="57" t="s">
        <v>918</v>
      </c>
      <c r="N379" s="110">
        <v>4905</v>
      </c>
      <c r="O379" s="57">
        <v>4900</v>
      </c>
      <c r="P379" s="58">
        <v>40255.645833333336</v>
      </c>
      <c r="Q379" s="59">
        <v>17524723</v>
      </c>
    </row>
    <row r="380" spans="1:17" ht="13.5">
      <c r="A380">
        <v>9536</v>
      </c>
      <c r="B380" t="s">
        <v>1996</v>
      </c>
      <c r="C380" t="s">
        <v>398</v>
      </c>
      <c r="D380" t="s">
        <v>1994</v>
      </c>
      <c r="E380">
        <v>0</v>
      </c>
      <c r="F380">
        <v>0</v>
      </c>
      <c r="G380">
        <v>0</v>
      </c>
      <c r="H380">
        <v>100</v>
      </c>
      <c r="I380" t="s">
        <v>401</v>
      </c>
      <c r="J380">
        <v>50.8481</v>
      </c>
      <c r="K380">
        <v>1</v>
      </c>
      <c r="L380" s="11">
        <f t="shared" si="21"/>
        <v>9536</v>
      </c>
      <c r="M380" s="57" t="s">
        <v>918</v>
      </c>
      <c r="N380" s="110">
        <v>258</v>
      </c>
      <c r="O380" s="57">
        <v>259</v>
      </c>
      <c r="P380" s="58">
        <v>40255.645833333336</v>
      </c>
      <c r="Q380" s="59">
        <v>371875676</v>
      </c>
    </row>
    <row r="381" spans="1:17" ht="13.5">
      <c r="A381">
        <v>9543</v>
      </c>
      <c r="B381" t="s">
        <v>223</v>
      </c>
      <c r="C381" t="s">
        <v>398</v>
      </c>
      <c r="D381" t="s">
        <v>1994</v>
      </c>
      <c r="E381">
        <v>0</v>
      </c>
      <c r="F381">
        <v>0</v>
      </c>
      <c r="G381">
        <v>84.3686</v>
      </c>
      <c r="H381">
        <v>15.6314</v>
      </c>
      <c r="I381" t="s">
        <v>401</v>
      </c>
      <c r="J381">
        <v>39.1318</v>
      </c>
      <c r="K381">
        <v>1</v>
      </c>
      <c r="L381" s="11">
        <f t="shared" si="21"/>
        <v>9543</v>
      </c>
      <c r="M381" s="57" t="s">
        <v>918</v>
      </c>
      <c r="N381" s="110">
        <v>523</v>
      </c>
      <c r="O381" s="57">
        <v>524</v>
      </c>
      <c r="P381" s="58">
        <v>40255.645833333336</v>
      </c>
      <c r="Q381" s="59">
        <v>76192950</v>
      </c>
    </row>
    <row r="382" spans="1:17" ht="13.5">
      <c r="A382">
        <v>9601</v>
      </c>
      <c r="B382" t="s">
        <v>1997</v>
      </c>
      <c r="C382" t="s">
        <v>398</v>
      </c>
      <c r="D382" t="s">
        <v>422</v>
      </c>
      <c r="E382">
        <v>0</v>
      </c>
      <c r="F382">
        <v>0</v>
      </c>
      <c r="G382">
        <v>0</v>
      </c>
      <c r="H382">
        <v>100</v>
      </c>
      <c r="I382" t="s">
        <v>401</v>
      </c>
      <c r="J382">
        <v>41.7203</v>
      </c>
      <c r="K382">
        <v>1</v>
      </c>
      <c r="L382" s="11">
        <f t="shared" si="21"/>
        <v>9601</v>
      </c>
      <c r="M382" s="57" t="s">
        <v>918</v>
      </c>
      <c r="N382" s="110">
        <v>763</v>
      </c>
      <c r="O382" s="57">
        <v>768</v>
      </c>
      <c r="P382" s="58">
        <v>40255.645833333336</v>
      </c>
      <c r="Q382" s="59">
        <v>125695578</v>
      </c>
    </row>
    <row r="383" spans="1:17" ht="13.5">
      <c r="A383">
        <v>9603</v>
      </c>
      <c r="B383" t="s">
        <v>224</v>
      </c>
      <c r="C383" t="s">
        <v>398</v>
      </c>
      <c r="D383" t="s">
        <v>372</v>
      </c>
      <c r="E383">
        <v>0</v>
      </c>
      <c r="F383">
        <v>0</v>
      </c>
      <c r="G383">
        <v>5.448</v>
      </c>
      <c r="H383">
        <v>94.552</v>
      </c>
      <c r="I383" t="s">
        <v>401</v>
      </c>
      <c r="J383">
        <v>52.3267</v>
      </c>
      <c r="K383">
        <v>1</v>
      </c>
      <c r="L383" s="11">
        <f t="shared" si="21"/>
        <v>9603</v>
      </c>
      <c r="M383" s="57" t="s">
        <v>918</v>
      </c>
      <c r="N383" s="110">
        <v>1872</v>
      </c>
      <c r="O383" s="57">
        <v>1887</v>
      </c>
      <c r="P383" s="58">
        <v>40255.645833333336</v>
      </c>
      <c r="Q383" s="59">
        <v>34261468</v>
      </c>
    </row>
    <row r="384" spans="1:17" ht="13.5">
      <c r="A384">
        <v>9605</v>
      </c>
      <c r="B384" t="s">
        <v>1998</v>
      </c>
      <c r="C384" t="s">
        <v>398</v>
      </c>
      <c r="D384" t="s">
        <v>422</v>
      </c>
      <c r="E384">
        <v>0</v>
      </c>
      <c r="F384">
        <v>0</v>
      </c>
      <c r="G384">
        <v>100</v>
      </c>
      <c r="H384">
        <v>0</v>
      </c>
      <c r="I384" t="s">
        <v>401</v>
      </c>
      <c r="J384">
        <v>54.3994</v>
      </c>
      <c r="K384">
        <v>1</v>
      </c>
      <c r="L384" s="11">
        <f t="shared" si="21"/>
        <v>9605</v>
      </c>
      <c r="M384" s="57" t="s">
        <v>918</v>
      </c>
      <c r="N384" s="110">
        <v>465</v>
      </c>
      <c r="O384" s="57">
        <v>464</v>
      </c>
      <c r="P384" s="58">
        <v>40255.645833333336</v>
      </c>
      <c r="Q384" s="59">
        <v>147689096</v>
      </c>
    </row>
    <row r="385" spans="1:17" ht="13.5">
      <c r="A385">
        <v>9681</v>
      </c>
      <c r="B385" t="s">
        <v>1999</v>
      </c>
      <c r="C385" t="s">
        <v>398</v>
      </c>
      <c r="D385" t="s">
        <v>372</v>
      </c>
      <c r="E385">
        <v>0</v>
      </c>
      <c r="F385">
        <v>0</v>
      </c>
      <c r="G385">
        <v>100</v>
      </c>
      <c r="H385">
        <v>0</v>
      </c>
      <c r="I385" t="s">
        <v>401</v>
      </c>
      <c r="J385">
        <v>26.1395</v>
      </c>
      <c r="K385">
        <v>1</v>
      </c>
      <c r="L385" s="11">
        <f t="shared" si="21"/>
        <v>9681</v>
      </c>
      <c r="M385" s="57" t="s">
        <v>918</v>
      </c>
      <c r="N385" s="110">
        <v>263</v>
      </c>
      <c r="O385" s="57">
        <v>265</v>
      </c>
      <c r="P385" s="58">
        <v>40255.645833333336</v>
      </c>
      <c r="Q385" s="59">
        <v>191714840</v>
      </c>
    </row>
    <row r="386" spans="1:17" ht="13.5">
      <c r="A386">
        <v>9697</v>
      </c>
      <c r="B386" t="s">
        <v>225</v>
      </c>
      <c r="C386" t="s">
        <v>398</v>
      </c>
      <c r="D386" t="s">
        <v>422</v>
      </c>
      <c r="E386">
        <v>0</v>
      </c>
      <c r="F386">
        <v>0</v>
      </c>
      <c r="G386">
        <v>0</v>
      </c>
      <c r="H386">
        <v>100</v>
      </c>
      <c r="I386" t="s">
        <v>401</v>
      </c>
      <c r="J386">
        <v>29.2106</v>
      </c>
      <c r="K386">
        <v>1</v>
      </c>
      <c r="L386" s="11">
        <f t="shared" si="21"/>
        <v>9697</v>
      </c>
      <c r="M386" s="57" t="s">
        <v>918</v>
      </c>
      <c r="N386" s="110">
        <v>1618</v>
      </c>
      <c r="O386" s="57">
        <v>1641</v>
      </c>
      <c r="P386" s="58">
        <v>40255.645833333336</v>
      </c>
      <c r="Q386" s="59">
        <v>67723244</v>
      </c>
    </row>
    <row r="387" spans="1:17" ht="13.5">
      <c r="A387">
        <v>9706</v>
      </c>
      <c r="B387" t="s">
        <v>2000</v>
      </c>
      <c r="C387" t="s">
        <v>398</v>
      </c>
      <c r="D387" t="s">
        <v>408</v>
      </c>
      <c r="E387">
        <v>0</v>
      </c>
      <c r="F387">
        <v>0</v>
      </c>
      <c r="G387">
        <v>81.8425</v>
      </c>
      <c r="H387">
        <v>18.1575</v>
      </c>
      <c r="I387" t="s">
        <v>401</v>
      </c>
      <c r="J387">
        <v>59.9763</v>
      </c>
      <c r="K387">
        <v>1</v>
      </c>
      <c r="L387" s="11">
        <f t="shared" si="21"/>
        <v>9706</v>
      </c>
      <c r="M387" s="57" t="s">
        <v>918</v>
      </c>
      <c r="N387" s="110">
        <v>1324</v>
      </c>
      <c r="O387" s="57">
        <v>1362</v>
      </c>
      <c r="P387" s="58">
        <v>40255.645833333336</v>
      </c>
      <c r="Q387" s="59">
        <v>84476500</v>
      </c>
    </row>
    <row r="388" spans="1:17" ht="13.5">
      <c r="A388">
        <v>9719</v>
      </c>
      <c r="B388" t="s">
        <v>2001</v>
      </c>
      <c r="C388" t="s">
        <v>398</v>
      </c>
      <c r="D388" t="s">
        <v>422</v>
      </c>
      <c r="E388">
        <v>0</v>
      </c>
      <c r="F388">
        <v>0</v>
      </c>
      <c r="G388">
        <v>100</v>
      </c>
      <c r="H388">
        <v>0</v>
      </c>
      <c r="I388" t="s">
        <v>401</v>
      </c>
      <c r="J388">
        <v>64.7129</v>
      </c>
      <c r="K388">
        <v>1</v>
      </c>
      <c r="L388" s="11">
        <f t="shared" si="21"/>
        <v>9719</v>
      </c>
      <c r="M388" s="57" t="s">
        <v>918</v>
      </c>
      <c r="N388" s="110">
        <v>1252</v>
      </c>
      <c r="O388" s="57">
        <v>1256</v>
      </c>
      <c r="P388" s="58">
        <v>40255.645833333336</v>
      </c>
      <c r="Q388" s="59">
        <v>54291447</v>
      </c>
    </row>
    <row r="389" spans="1:17" ht="13.5">
      <c r="A389">
        <v>9737</v>
      </c>
      <c r="B389" t="s">
        <v>1196</v>
      </c>
      <c r="C389" t="s">
        <v>398</v>
      </c>
      <c r="D389" t="s">
        <v>422</v>
      </c>
      <c r="E389">
        <v>0</v>
      </c>
      <c r="F389">
        <v>0</v>
      </c>
      <c r="G389">
        <v>0</v>
      </c>
      <c r="H389">
        <v>100</v>
      </c>
      <c r="I389" t="s">
        <v>401</v>
      </c>
      <c r="J389">
        <v>15.2021</v>
      </c>
      <c r="K389">
        <v>1</v>
      </c>
      <c r="L389" s="11">
        <f t="shared" si="21"/>
        <v>9737</v>
      </c>
      <c r="M389" s="57" t="s">
        <v>918</v>
      </c>
      <c r="N389" s="110">
        <v>408</v>
      </c>
      <c r="O389" s="57">
        <v>408</v>
      </c>
      <c r="P389" s="58">
        <v>40255.645833333336</v>
      </c>
      <c r="Q389" s="59">
        <v>80290414</v>
      </c>
    </row>
    <row r="390" spans="1:17" ht="13.5">
      <c r="A390">
        <v>9744</v>
      </c>
      <c r="B390" t="s">
        <v>2002</v>
      </c>
      <c r="C390" t="s">
        <v>398</v>
      </c>
      <c r="D390" t="s">
        <v>372</v>
      </c>
      <c r="E390">
        <v>0</v>
      </c>
      <c r="F390">
        <v>0</v>
      </c>
      <c r="G390">
        <v>0</v>
      </c>
      <c r="H390">
        <v>100</v>
      </c>
      <c r="I390" t="s">
        <v>401</v>
      </c>
      <c r="J390">
        <v>22.7391</v>
      </c>
      <c r="K390">
        <v>1</v>
      </c>
      <c r="L390" s="11">
        <f t="shared" si="21"/>
        <v>9744</v>
      </c>
      <c r="M390" s="57" t="s">
        <v>918</v>
      </c>
      <c r="N390" s="110">
        <v>1753</v>
      </c>
      <c r="O390" s="57">
        <v>1771</v>
      </c>
      <c r="P390" s="58">
        <v>40255.645833333336</v>
      </c>
      <c r="Q390" s="59">
        <v>35100000</v>
      </c>
    </row>
    <row r="391" spans="1:17" ht="13.5">
      <c r="A391">
        <v>9747</v>
      </c>
      <c r="B391" t="s">
        <v>2007</v>
      </c>
      <c r="C391" t="s">
        <v>398</v>
      </c>
      <c r="D391" t="s">
        <v>372</v>
      </c>
      <c r="E391">
        <v>0</v>
      </c>
      <c r="F391">
        <v>0</v>
      </c>
      <c r="G391">
        <v>100</v>
      </c>
      <c r="H391">
        <v>0</v>
      </c>
      <c r="I391" t="s">
        <v>401</v>
      </c>
      <c r="J391">
        <v>37.5871</v>
      </c>
      <c r="K391">
        <v>1</v>
      </c>
      <c r="L391" s="11">
        <f t="shared" si="21"/>
        <v>9747</v>
      </c>
      <c r="M391" s="57" t="s">
        <v>918</v>
      </c>
      <c r="N391" s="110">
        <v>1865</v>
      </c>
      <c r="O391" s="57">
        <v>1867</v>
      </c>
      <c r="P391" s="58">
        <v>40255.645833333336</v>
      </c>
      <c r="Q391" s="59">
        <v>45155400</v>
      </c>
    </row>
    <row r="392" spans="1:17" ht="13.5">
      <c r="A392">
        <v>9749</v>
      </c>
      <c r="B392" t="s">
        <v>2008</v>
      </c>
      <c r="C392" t="s">
        <v>398</v>
      </c>
      <c r="D392" t="s">
        <v>422</v>
      </c>
      <c r="E392">
        <v>0</v>
      </c>
      <c r="F392">
        <v>0</v>
      </c>
      <c r="G392">
        <v>100</v>
      </c>
      <c r="H392">
        <v>0</v>
      </c>
      <c r="I392" t="s">
        <v>401</v>
      </c>
      <c r="J392">
        <v>43.3384</v>
      </c>
      <c r="K392">
        <v>1</v>
      </c>
      <c r="L392" s="11">
        <f t="shared" si="21"/>
        <v>9749</v>
      </c>
      <c r="M392" s="57" t="s">
        <v>918</v>
      </c>
      <c r="N392" s="110">
        <v>1515</v>
      </c>
      <c r="O392" s="57">
        <v>1519</v>
      </c>
      <c r="P392" s="58">
        <v>40255.645833333336</v>
      </c>
      <c r="Q392" s="59">
        <v>35746329</v>
      </c>
    </row>
    <row r="393" spans="1:17" ht="13.5">
      <c r="A393">
        <v>9759</v>
      </c>
      <c r="B393" t="s">
        <v>226</v>
      </c>
      <c r="C393" t="s">
        <v>398</v>
      </c>
      <c r="D393" t="s">
        <v>422</v>
      </c>
      <c r="E393">
        <v>0</v>
      </c>
      <c r="F393">
        <v>0</v>
      </c>
      <c r="G393">
        <v>54.9278</v>
      </c>
      <c r="H393">
        <v>45.0722</v>
      </c>
      <c r="I393" t="s">
        <v>401</v>
      </c>
      <c r="J393">
        <v>29.944</v>
      </c>
      <c r="K393">
        <v>1</v>
      </c>
      <c r="L393" s="11">
        <f t="shared" si="21"/>
        <v>9759</v>
      </c>
      <c r="M393" s="57" t="s">
        <v>918</v>
      </c>
      <c r="N393" s="110">
        <v>1051</v>
      </c>
      <c r="O393" s="57">
        <v>1053</v>
      </c>
      <c r="P393" s="58">
        <v>40255.645833333336</v>
      </c>
      <c r="Q393" s="59">
        <v>51172160</v>
      </c>
    </row>
    <row r="394" spans="1:17" ht="13.5">
      <c r="A394">
        <v>9792</v>
      </c>
      <c r="B394" t="s">
        <v>227</v>
      </c>
      <c r="C394" t="s">
        <v>398</v>
      </c>
      <c r="D394" t="s">
        <v>372</v>
      </c>
      <c r="E394">
        <v>0</v>
      </c>
      <c r="F394">
        <v>0</v>
      </c>
      <c r="G394">
        <v>5.5622</v>
      </c>
      <c r="H394">
        <v>94.4378</v>
      </c>
      <c r="I394" t="s">
        <v>401</v>
      </c>
      <c r="J394">
        <v>52.0307</v>
      </c>
      <c r="K394">
        <v>1</v>
      </c>
      <c r="L394" s="11">
        <f t="shared" si="21"/>
        <v>9792</v>
      </c>
      <c r="M394" s="57" t="s">
        <v>918</v>
      </c>
      <c r="N394" s="110">
        <v>820</v>
      </c>
      <c r="O394" s="57">
        <v>819</v>
      </c>
      <c r="P394" s="58">
        <v>40255.645833333336</v>
      </c>
      <c r="Q394" s="59">
        <v>73017952</v>
      </c>
    </row>
    <row r="395" spans="1:17" ht="13.5">
      <c r="A395">
        <v>9793</v>
      </c>
      <c r="B395" t="s">
        <v>2009</v>
      </c>
      <c r="C395" t="s">
        <v>398</v>
      </c>
      <c r="D395" t="s">
        <v>372</v>
      </c>
      <c r="E395">
        <v>0</v>
      </c>
      <c r="F395">
        <v>0</v>
      </c>
      <c r="G395">
        <v>0</v>
      </c>
      <c r="H395">
        <v>100</v>
      </c>
      <c r="I395" t="s">
        <v>401</v>
      </c>
      <c r="J395">
        <v>32.0771</v>
      </c>
      <c r="K395">
        <v>1</v>
      </c>
      <c r="L395" s="11">
        <f t="shared" si="21"/>
        <v>9793</v>
      </c>
      <c r="M395" s="57" t="s">
        <v>918</v>
      </c>
      <c r="N395" s="110">
        <v>1796</v>
      </c>
      <c r="O395" s="57">
        <v>1756</v>
      </c>
      <c r="P395" s="58">
        <v>40255.645833333336</v>
      </c>
      <c r="Q395" s="59">
        <v>45124954</v>
      </c>
    </row>
    <row r="396" spans="1:17" ht="13.5">
      <c r="A396">
        <v>9832</v>
      </c>
      <c r="B396" t="s">
        <v>2010</v>
      </c>
      <c r="C396" t="s">
        <v>404</v>
      </c>
      <c r="D396" t="s">
        <v>664</v>
      </c>
      <c r="E396">
        <v>0</v>
      </c>
      <c r="F396">
        <v>0</v>
      </c>
      <c r="G396">
        <v>100</v>
      </c>
      <c r="H396">
        <v>0</v>
      </c>
      <c r="I396" t="s">
        <v>401</v>
      </c>
      <c r="J396">
        <v>27.3821</v>
      </c>
      <c r="K396">
        <v>1</v>
      </c>
      <c r="L396" s="11">
        <f t="shared" si="21"/>
        <v>9832</v>
      </c>
      <c r="M396" s="57" t="s">
        <v>919</v>
      </c>
      <c r="N396" s="110">
        <v>2928</v>
      </c>
      <c r="O396" s="57">
        <v>2918</v>
      </c>
      <c r="P396" s="58">
        <v>40255.645833333336</v>
      </c>
      <c r="Q396" s="59">
        <v>37454204</v>
      </c>
    </row>
    <row r="397" spans="1:17" ht="13.5">
      <c r="A397">
        <v>9861</v>
      </c>
      <c r="B397" t="s">
        <v>2011</v>
      </c>
      <c r="C397" t="s">
        <v>398</v>
      </c>
      <c r="D397" t="s">
        <v>370</v>
      </c>
      <c r="E397">
        <v>0</v>
      </c>
      <c r="F397">
        <v>0</v>
      </c>
      <c r="G397">
        <v>93.72</v>
      </c>
      <c r="H397">
        <v>6.28</v>
      </c>
      <c r="I397" t="s">
        <v>401</v>
      </c>
      <c r="J397">
        <v>37.4524</v>
      </c>
      <c r="K397">
        <v>1</v>
      </c>
      <c r="L397" s="11">
        <f t="shared" si="21"/>
        <v>9861</v>
      </c>
      <c r="M397" s="57" t="s">
        <v>918</v>
      </c>
      <c r="N397" s="110">
        <v>99100</v>
      </c>
      <c r="O397" s="57">
        <v>99100</v>
      </c>
      <c r="P397" s="58">
        <v>40255.645833333336</v>
      </c>
      <c r="Q397" s="59">
        <v>662405</v>
      </c>
    </row>
    <row r="398" spans="1:17" ht="13.5">
      <c r="A398">
        <v>9869</v>
      </c>
      <c r="B398" t="s">
        <v>228</v>
      </c>
      <c r="C398" t="s">
        <v>398</v>
      </c>
      <c r="D398" t="s">
        <v>664</v>
      </c>
      <c r="E398">
        <v>0</v>
      </c>
      <c r="F398">
        <v>0</v>
      </c>
      <c r="G398">
        <v>100</v>
      </c>
      <c r="H398">
        <v>0</v>
      </c>
      <c r="I398" t="s">
        <v>401</v>
      </c>
      <c r="J398">
        <v>54.5362</v>
      </c>
      <c r="K398">
        <v>1</v>
      </c>
      <c r="L398" s="11">
        <f t="shared" si="21"/>
        <v>9869</v>
      </c>
      <c r="M398" s="57" t="s">
        <v>918</v>
      </c>
      <c r="N398" s="110">
        <v>1487</v>
      </c>
      <c r="O398" s="57">
        <v>1476</v>
      </c>
      <c r="P398" s="58">
        <v>40255.645833333336</v>
      </c>
      <c r="Q398" s="59">
        <v>38153115</v>
      </c>
    </row>
    <row r="399" spans="1:17" ht="13.5">
      <c r="A399">
        <v>9934</v>
      </c>
      <c r="B399" t="s">
        <v>2012</v>
      </c>
      <c r="C399" t="s">
        <v>398</v>
      </c>
      <c r="D399" t="s">
        <v>664</v>
      </c>
      <c r="E399">
        <v>0</v>
      </c>
      <c r="F399">
        <v>0</v>
      </c>
      <c r="G399">
        <v>100</v>
      </c>
      <c r="H399">
        <v>0</v>
      </c>
      <c r="I399" t="s">
        <v>401</v>
      </c>
      <c r="J399">
        <v>36.4153</v>
      </c>
      <c r="K399">
        <v>1</v>
      </c>
      <c r="L399" s="11">
        <f t="shared" si="21"/>
        <v>9934</v>
      </c>
      <c r="M399" s="57" t="s">
        <v>918</v>
      </c>
      <c r="N399" s="110">
        <v>2148</v>
      </c>
      <c r="O399" s="57">
        <v>2149</v>
      </c>
      <c r="P399" s="58">
        <v>40255.645833333336</v>
      </c>
      <c r="Q399" s="59">
        <v>23400000</v>
      </c>
    </row>
    <row r="400" spans="1:17" ht="13.5">
      <c r="A400">
        <v>9945</v>
      </c>
      <c r="B400" t="s">
        <v>229</v>
      </c>
      <c r="C400" t="s">
        <v>398</v>
      </c>
      <c r="D400" t="s">
        <v>370</v>
      </c>
      <c r="E400">
        <v>0</v>
      </c>
      <c r="F400">
        <v>0</v>
      </c>
      <c r="G400">
        <v>100</v>
      </c>
      <c r="H400">
        <v>0</v>
      </c>
      <c r="I400" t="s">
        <v>401</v>
      </c>
      <c r="J400">
        <v>56.8942</v>
      </c>
      <c r="K400">
        <v>1</v>
      </c>
      <c r="L400" s="11">
        <f t="shared" si="21"/>
        <v>9945</v>
      </c>
      <c r="M400" s="57" t="s">
        <v>918</v>
      </c>
      <c r="N400" s="110">
        <v>1210</v>
      </c>
      <c r="O400" s="57">
        <v>1211</v>
      </c>
      <c r="P400" s="58">
        <v>40255.645833333336</v>
      </c>
      <c r="Q400" s="59">
        <v>44392680</v>
      </c>
    </row>
    <row r="401" spans="1:17" ht="13.5">
      <c r="A401">
        <v>9948</v>
      </c>
      <c r="B401" t="s">
        <v>230</v>
      </c>
      <c r="C401" t="s">
        <v>398</v>
      </c>
      <c r="D401" t="s">
        <v>370</v>
      </c>
      <c r="E401">
        <v>0</v>
      </c>
      <c r="F401">
        <v>0</v>
      </c>
      <c r="G401">
        <v>100</v>
      </c>
      <c r="H401">
        <v>0</v>
      </c>
      <c r="I401" t="s">
        <v>401</v>
      </c>
      <c r="J401">
        <v>40.4607</v>
      </c>
      <c r="K401">
        <v>1</v>
      </c>
      <c r="L401" s="11">
        <f t="shared" si="21"/>
        <v>9948</v>
      </c>
      <c r="M401" s="57" t="s">
        <v>918</v>
      </c>
      <c r="N401" s="110">
        <v>1206</v>
      </c>
      <c r="O401" s="57">
        <v>1214</v>
      </c>
      <c r="P401" s="58">
        <v>40255.645833333336</v>
      </c>
      <c r="Q401" s="59">
        <v>41778945</v>
      </c>
    </row>
    <row r="402" spans="1:17" ht="13.5">
      <c r="A402">
        <v>9989</v>
      </c>
      <c r="B402" t="s">
        <v>2013</v>
      </c>
      <c r="C402" t="s">
        <v>398</v>
      </c>
      <c r="D402" t="s">
        <v>370</v>
      </c>
      <c r="E402">
        <v>0</v>
      </c>
      <c r="F402">
        <v>0</v>
      </c>
      <c r="G402">
        <v>0</v>
      </c>
      <c r="H402">
        <v>100</v>
      </c>
      <c r="I402" t="s">
        <v>401</v>
      </c>
      <c r="J402">
        <v>57.5679</v>
      </c>
      <c r="K402">
        <v>1</v>
      </c>
      <c r="L402" s="11">
        <f t="shared" si="21"/>
        <v>9989</v>
      </c>
      <c r="M402" s="57" t="s">
        <v>918</v>
      </c>
      <c r="N402" s="110">
        <v>2157</v>
      </c>
      <c r="O402" s="57">
        <v>2157</v>
      </c>
      <c r="P402" s="58">
        <v>40255.645833333336</v>
      </c>
      <c r="Q402" s="59">
        <v>67165592</v>
      </c>
    </row>
  </sheetData>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sheetPr codeName="Sheet9"/>
  <dimension ref="A1:H157"/>
  <sheetViews>
    <sheetView workbookViewId="0" topLeftCell="A154">
      <selection activeCell="E155" sqref="E155"/>
    </sheetView>
  </sheetViews>
  <sheetFormatPr defaultColWidth="9.00390625" defaultRowHeight="13.5"/>
  <cols>
    <col min="2" max="3" width="13.00390625" style="0" bestFit="1" customWidth="1"/>
  </cols>
  <sheetData>
    <row r="1" spans="2:8" ht="13.5">
      <c r="B1" s="3" t="s">
        <v>1069</v>
      </c>
      <c r="C1" s="3" t="s">
        <v>1071</v>
      </c>
      <c r="D1" s="51" t="s">
        <v>1073</v>
      </c>
      <c r="E1" s="96" t="s">
        <v>1075</v>
      </c>
      <c r="F1" s="96" t="s">
        <v>1077</v>
      </c>
      <c r="G1" s="96" t="s">
        <v>1079</v>
      </c>
      <c r="H1" s="96" t="s">
        <v>1081</v>
      </c>
    </row>
    <row r="2" spans="1:8" ht="13.5">
      <c r="A2">
        <v>1</v>
      </c>
      <c r="B2" s="3">
        <v>39716</v>
      </c>
      <c r="C2" s="3">
        <v>39716</v>
      </c>
      <c r="D2" s="51" t="s">
        <v>1027</v>
      </c>
      <c r="E2" s="96" t="s">
        <v>1028</v>
      </c>
      <c r="F2" s="51" t="s">
        <v>1023</v>
      </c>
      <c r="G2" s="51">
        <v>84.71523911</v>
      </c>
      <c r="H2" s="51"/>
    </row>
    <row r="3" spans="1:8" ht="14.25">
      <c r="A3">
        <v>1</v>
      </c>
      <c r="B3" s="3">
        <v>39716</v>
      </c>
      <c r="C3" s="3">
        <v>39716</v>
      </c>
      <c r="D3" s="95" t="s">
        <v>1027</v>
      </c>
      <c r="E3" s="96" t="s">
        <v>1029</v>
      </c>
      <c r="F3" s="95" t="s">
        <v>1023</v>
      </c>
      <c r="G3" s="97">
        <v>7.044587107</v>
      </c>
      <c r="H3" s="95"/>
    </row>
    <row r="4" spans="1:8" ht="14.25">
      <c r="A4">
        <v>1</v>
      </c>
      <c r="B4" s="3">
        <v>39716</v>
      </c>
      <c r="C4" s="3">
        <v>39716</v>
      </c>
      <c r="D4" s="95" t="s">
        <v>1027</v>
      </c>
      <c r="E4" s="96" t="s">
        <v>1030</v>
      </c>
      <c r="F4" s="95" t="s">
        <v>1023</v>
      </c>
      <c r="G4" s="97">
        <v>5.4675371593</v>
      </c>
      <c r="H4" s="97"/>
    </row>
    <row r="5" spans="1:8" ht="14.25">
      <c r="A5">
        <v>1</v>
      </c>
      <c r="B5" s="3">
        <v>39749</v>
      </c>
      <c r="C5" s="3">
        <v>39749</v>
      </c>
      <c r="D5" s="95" t="s">
        <v>1027</v>
      </c>
      <c r="E5" s="96" t="s">
        <v>1030</v>
      </c>
      <c r="F5" s="95" t="s">
        <v>1023</v>
      </c>
      <c r="G5" s="97">
        <v>5.3245334587999995</v>
      </c>
      <c r="H5" s="97"/>
    </row>
    <row r="6" spans="1:8" ht="14.25">
      <c r="A6">
        <v>1</v>
      </c>
      <c r="B6" s="3">
        <v>39777</v>
      </c>
      <c r="C6" s="3">
        <v>39777</v>
      </c>
      <c r="D6" s="95" t="s">
        <v>1027</v>
      </c>
      <c r="E6" s="96" t="s">
        <v>1028</v>
      </c>
      <c r="F6" s="95" t="s">
        <v>1023</v>
      </c>
      <c r="G6" s="97">
        <v>0.40507149511888846</v>
      </c>
      <c r="H6" s="95"/>
    </row>
    <row r="7" spans="1:8" ht="14.25">
      <c r="A7">
        <v>1</v>
      </c>
      <c r="B7" s="3">
        <v>39777</v>
      </c>
      <c r="C7" s="3">
        <v>39777</v>
      </c>
      <c r="D7" s="95" t="s">
        <v>1027</v>
      </c>
      <c r="E7" s="96" t="s">
        <v>1029</v>
      </c>
      <c r="F7" s="95" t="s">
        <v>1023</v>
      </c>
      <c r="G7" s="97">
        <v>0</v>
      </c>
      <c r="H7" s="97"/>
    </row>
    <row r="8" spans="1:8" ht="14.25">
      <c r="A8">
        <v>1</v>
      </c>
      <c r="B8" s="3">
        <v>39777</v>
      </c>
      <c r="C8" s="3">
        <v>39777</v>
      </c>
      <c r="D8" s="95" t="s">
        <v>1027</v>
      </c>
      <c r="E8" s="96" t="s">
        <v>1030</v>
      </c>
      <c r="F8" s="95" t="s">
        <v>1023</v>
      </c>
      <c r="G8" s="95">
        <v>6.683694271000001</v>
      </c>
      <c r="H8" s="97"/>
    </row>
    <row r="9" spans="1:8" ht="14.25">
      <c r="A9">
        <v>1</v>
      </c>
      <c r="B9" s="3">
        <v>39807</v>
      </c>
      <c r="C9" s="3">
        <v>39807</v>
      </c>
      <c r="D9" s="95" t="s">
        <v>1027</v>
      </c>
      <c r="E9" s="96" t="s">
        <v>1030</v>
      </c>
      <c r="F9" s="95" t="s">
        <v>1023</v>
      </c>
      <c r="G9" s="95">
        <v>9.034751918400001</v>
      </c>
      <c r="H9" s="97"/>
    </row>
    <row r="10" spans="1:8" ht="13.5">
      <c r="A10">
        <v>1</v>
      </c>
      <c r="B10" s="3">
        <v>39807</v>
      </c>
      <c r="C10" s="3">
        <v>39807</v>
      </c>
      <c r="D10" s="51" t="s">
        <v>1027</v>
      </c>
      <c r="E10" s="96" t="s">
        <v>1028</v>
      </c>
      <c r="F10" s="51" t="s">
        <v>1023</v>
      </c>
      <c r="G10" s="51">
        <v>13.914205857333819</v>
      </c>
      <c r="H10" s="51"/>
    </row>
    <row r="11" spans="1:8" ht="14.25">
      <c r="A11">
        <v>1</v>
      </c>
      <c r="B11" s="3">
        <v>39807</v>
      </c>
      <c r="C11" s="3">
        <v>39807</v>
      </c>
      <c r="D11" s="95" t="s">
        <v>1027</v>
      </c>
      <c r="E11" s="96" t="s">
        <v>1029</v>
      </c>
      <c r="F11" s="95" t="s">
        <v>1023</v>
      </c>
      <c r="G11" s="97">
        <v>0.7745899870371847</v>
      </c>
      <c r="H11" s="95"/>
    </row>
    <row r="12" spans="1:8" ht="14.25">
      <c r="A12">
        <v>1</v>
      </c>
      <c r="B12" s="3">
        <v>39828</v>
      </c>
      <c r="C12" s="3">
        <v>39833</v>
      </c>
      <c r="D12" s="95" t="s">
        <v>1021</v>
      </c>
      <c r="E12" s="96" t="s">
        <v>1198</v>
      </c>
      <c r="F12" s="95" t="s">
        <v>1032</v>
      </c>
      <c r="G12" s="97">
        <v>18</v>
      </c>
      <c r="H12" s="95"/>
    </row>
    <row r="13" spans="1:8" ht="14.25">
      <c r="A13">
        <v>1</v>
      </c>
      <c r="B13" s="3">
        <v>39828</v>
      </c>
      <c r="C13" s="3">
        <v>39833</v>
      </c>
      <c r="D13" s="95" t="s">
        <v>1021</v>
      </c>
      <c r="E13" s="96" t="s">
        <v>1199</v>
      </c>
      <c r="F13" s="95" t="s">
        <v>1032</v>
      </c>
      <c r="G13" s="97">
        <v>97</v>
      </c>
      <c r="H13" s="95"/>
    </row>
    <row r="14" spans="1:8" ht="14.25">
      <c r="A14">
        <v>1</v>
      </c>
      <c r="B14" s="3">
        <v>39828</v>
      </c>
      <c r="C14" s="3">
        <v>39833</v>
      </c>
      <c r="D14" s="95" t="s">
        <v>1021</v>
      </c>
      <c r="E14" s="96" t="s">
        <v>1200</v>
      </c>
      <c r="F14" s="95" t="s">
        <v>1032</v>
      </c>
      <c r="G14" s="97">
        <v>58</v>
      </c>
      <c r="H14" s="95"/>
    </row>
    <row r="15" spans="1:8" ht="14.25">
      <c r="A15">
        <v>1</v>
      </c>
      <c r="B15" s="3">
        <v>39828</v>
      </c>
      <c r="C15" s="3">
        <v>39833</v>
      </c>
      <c r="D15" s="95" t="s">
        <v>1021</v>
      </c>
      <c r="E15" s="96" t="s">
        <v>1201</v>
      </c>
      <c r="F15" s="95" t="s">
        <v>1032</v>
      </c>
      <c r="G15" s="97">
        <v>95</v>
      </c>
      <c r="H15" s="95"/>
    </row>
    <row r="16" spans="1:8" ht="14.25">
      <c r="A16">
        <v>1</v>
      </c>
      <c r="B16" s="3">
        <v>39828</v>
      </c>
      <c r="C16" s="3">
        <v>39833</v>
      </c>
      <c r="D16" s="95" t="s">
        <v>1021</v>
      </c>
      <c r="E16" s="96" t="s">
        <v>1202</v>
      </c>
      <c r="F16" s="95" t="s">
        <v>1032</v>
      </c>
      <c r="G16" s="97">
        <v>153</v>
      </c>
      <c r="H16" s="95"/>
    </row>
    <row r="17" spans="1:8" ht="14.25">
      <c r="A17">
        <v>1</v>
      </c>
      <c r="B17" s="3">
        <v>39828</v>
      </c>
      <c r="C17" s="3">
        <v>39833</v>
      </c>
      <c r="D17" s="95" t="s">
        <v>1021</v>
      </c>
      <c r="E17" s="96" t="s">
        <v>1203</v>
      </c>
      <c r="F17" s="95" t="s">
        <v>1032</v>
      </c>
      <c r="G17" s="97">
        <v>120</v>
      </c>
      <c r="H17" s="95"/>
    </row>
    <row r="18" spans="1:8" ht="14.25">
      <c r="A18">
        <v>1</v>
      </c>
      <c r="B18" s="3">
        <v>39828</v>
      </c>
      <c r="C18" s="3">
        <v>39833</v>
      </c>
      <c r="D18" s="95" t="s">
        <v>1021</v>
      </c>
      <c r="E18" s="96" t="s">
        <v>1204</v>
      </c>
      <c r="F18" s="95" t="s">
        <v>1032</v>
      </c>
      <c r="G18" s="97">
        <v>271</v>
      </c>
      <c r="H18" s="95"/>
    </row>
    <row r="19" spans="1:8" ht="14.25">
      <c r="A19">
        <v>1</v>
      </c>
      <c r="B19" s="3">
        <v>39828</v>
      </c>
      <c r="C19" s="3">
        <v>39833</v>
      </c>
      <c r="D19" s="95" t="s">
        <v>1021</v>
      </c>
      <c r="E19" s="96" t="s">
        <v>1205</v>
      </c>
      <c r="F19" s="95" t="s">
        <v>1032</v>
      </c>
      <c r="G19" s="97">
        <v>134</v>
      </c>
      <c r="H19" s="95"/>
    </row>
    <row r="20" spans="1:8" ht="14.25">
      <c r="A20">
        <v>1</v>
      </c>
      <c r="B20" s="3">
        <v>39828</v>
      </c>
      <c r="C20" s="3">
        <v>39833</v>
      </c>
      <c r="D20" s="95" t="s">
        <v>1021</v>
      </c>
      <c r="E20" s="96" t="s">
        <v>1206</v>
      </c>
      <c r="F20" s="95" t="s">
        <v>1032</v>
      </c>
      <c r="G20" s="97">
        <v>68</v>
      </c>
      <c r="H20" s="95"/>
    </row>
    <row r="21" spans="1:8" ht="14.25">
      <c r="A21">
        <v>1</v>
      </c>
      <c r="B21" s="3">
        <v>39828</v>
      </c>
      <c r="C21" s="3">
        <v>39833</v>
      </c>
      <c r="D21" s="95" t="s">
        <v>1021</v>
      </c>
      <c r="E21" s="96" t="s">
        <v>1207</v>
      </c>
      <c r="F21" s="95" t="s">
        <v>1032</v>
      </c>
      <c r="G21" s="97">
        <v>85</v>
      </c>
      <c r="H21" s="95"/>
    </row>
    <row r="22" spans="1:8" ht="14.25">
      <c r="A22">
        <v>1</v>
      </c>
      <c r="B22" s="3">
        <v>39828</v>
      </c>
      <c r="C22" s="3">
        <v>39833</v>
      </c>
      <c r="D22" s="95" t="s">
        <v>1021</v>
      </c>
      <c r="E22" s="96" t="s">
        <v>1208</v>
      </c>
      <c r="F22" s="95" t="s">
        <v>1032</v>
      </c>
      <c r="G22" s="97">
        <v>122</v>
      </c>
      <c r="H22" s="95"/>
    </row>
    <row r="23" spans="1:8" ht="14.25">
      <c r="A23">
        <v>1</v>
      </c>
      <c r="B23" s="3">
        <v>39828</v>
      </c>
      <c r="C23" s="3">
        <v>39833</v>
      </c>
      <c r="D23" s="95" t="s">
        <v>1021</v>
      </c>
      <c r="E23" s="96" t="s">
        <v>1209</v>
      </c>
      <c r="F23" s="95" t="s">
        <v>1032</v>
      </c>
      <c r="G23" s="97">
        <v>52</v>
      </c>
      <c r="H23" s="95"/>
    </row>
    <row r="24" spans="1:8" ht="14.25">
      <c r="A24">
        <v>1</v>
      </c>
      <c r="B24" s="3">
        <v>39828</v>
      </c>
      <c r="C24" s="3">
        <v>39833</v>
      </c>
      <c r="D24" s="95" t="s">
        <v>1021</v>
      </c>
      <c r="E24" s="96" t="s">
        <v>1210</v>
      </c>
      <c r="F24" s="95" t="s">
        <v>1032</v>
      </c>
      <c r="G24" s="97">
        <v>274</v>
      </c>
      <c r="H24" s="95"/>
    </row>
    <row r="25" spans="1:8" ht="14.25">
      <c r="A25">
        <v>1</v>
      </c>
      <c r="B25" s="3">
        <v>39828</v>
      </c>
      <c r="C25" s="3">
        <v>39833</v>
      </c>
      <c r="D25" s="95" t="s">
        <v>1021</v>
      </c>
      <c r="E25" s="96" t="s">
        <v>1211</v>
      </c>
      <c r="F25" s="95" t="s">
        <v>1032</v>
      </c>
      <c r="G25" s="97">
        <v>70</v>
      </c>
      <c r="H25" s="95"/>
    </row>
    <row r="26" spans="1:8" ht="14.25">
      <c r="A26">
        <v>1</v>
      </c>
      <c r="B26" s="3">
        <v>39828</v>
      </c>
      <c r="C26" s="3">
        <v>39833</v>
      </c>
      <c r="D26" s="95" t="s">
        <v>1021</v>
      </c>
      <c r="E26" s="96" t="s">
        <v>1212</v>
      </c>
      <c r="F26" s="95" t="s">
        <v>1032</v>
      </c>
      <c r="G26" s="97">
        <v>75</v>
      </c>
      <c r="H26" s="95"/>
    </row>
    <row r="27" spans="1:8" ht="14.25">
      <c r="A27">
        <v>1</v>
      </c>
      <c r="B27" s="3">
        <v>39828</v>
      </c>
      <c r="C27" s="3">
        <v>39833</v>
      </c>
      <c r="D27" s="95" t="s">
        <v>1021</v>
      </c>
      <c r="E27" s="96" t="s">
        <v>1213</v>
      </c>
      <c r="F27" s="95" t="s">
        <v>1032</v>
      </c>
      <c r="G27" s="97">
        <v>44</v>
      </c>
      <c r="H27" s="95"/>
    </row>
    <row r="28" spans="1:8" ht="14.25">
      <c r="A28">
        <v>1</v>
      </c>
      <c r="B28" s="3">
        <v>39828</v>
      </c>
      <c r="C28" s="3">
        <v>39833</v>
      </c>
      <c r="D28" s="95" t="s">
        <v>1021</v>
      </c>
      <c r="E28" s="96" t="s">
        <v>1214</v>
      </c>
      <c r="F28" s="95" t="s">
        <v>1032</v>
      </c>
      <c r="G28" s="97">
        <v>77</v>
      </c>
      <c r="H28" s="95"/>
    </row>
    <row r="29" spans="1:8" ht="14.25">
      <c r="A29">
        <v>1</v>
      </c>
      <c r="B29" s="3">
        <v>39840</v>
      </c>
      <c r="C29" s="3">
        <v>39840</v>
      </c>
      <c r="D29" s="95" t="s">
        <v>1027</v>
      </c>
      <c r="E29" s="96" t="s">
        <v>1030</v>
      </c>
      <c r="F29" s="95" t="s">
        <v>1023</v>
      </c>
      <c r="G29" s="95">
        <v>2.582639892</v>
      </c>
      <c r="H29" s="97"/>
    </row>
    <row r="30" spans="1:8" ht="13.5">
      <c r="A30">
        <v>1</v>
      </c>
      <c r="B30" s="3">
        <v>39840</v>
      </c>
      <c r="C30" s="3">
        <v>39840</v>
      </c>
      <c r="D30" s="51" t="s">
        <v>1027</v>
      </c>
      <c r="E30" s="96" t="s">
        <v>1028</v>
      </c>
      <c r="F30" s="51" t="s">
        <v>1023</v>
      </c>
      <c r="G30" s="51">
        <v>0.9822983756633046</v>
      </c>
      <c r="H30" s="51"/>
    </row>
    <row r="31" spans="1:8" ht="14.25">
      <c r="A31">
        <v>1</v>
      </c>
      <c r="B31" s="3">
        <v>39840</v>
      </c>
      <c r="C31" s="3">
        <v>39840</v>
      </c>
      <c r="D31" s="95" t="s">
        <v>1027</v>
      </c>
      <c r="E31" s="96" t="s">
        <v>1029</v>
      </c>
      <c r="F31" s="95" t="s">
        <v>1023</v>
      </c>
      <c r="G31" s="97">
        <v>0</v>
      </c>
      <c r="H31" s="95"/>
    </row>
    <row r="32" spans="1:8" ht="14.25">
      <c r="A32">
        <v>1</v>
      </c>
      <c r="B32" s="3">
        <v>39849</v>
      </c>
      <c r="C32" s="3">
        <v>39852</v>
      </c>
      <c r="D32" s="95" t="s">
        <v>1021</v>
      </c>
      <c r="E32" s="96" t="s">
        <v>1031</v>
      </c>
      <c r="F32" s="95" t="s">
        <v>1032</v>
      </c>
      <c r="G32" s="95">
        <v>5.4</v>
      </c>
      <c r="H32" s="97"/>
    </row>
    <row r="33" spans="1:8" ht="14.25">
      <c r="A33">
        <v>1</v>
      </c>
      <c r="B33" s="3">
        <v>39868</v>
      </c>
      <c r="C33" s="3">
        <v>39868</v>
      </c>
      <c r="D33" s="95" t="s">
        <v>1027</v>
      </c>
      <c r="E33" s="96" t="s">
        <v>1030</v>
      </c>
      <c r="F33" s="95" t="s">
        <v>1023</v>
      </c>
      <c r="G33" s="51">
        <v>5.422114136599999</v>
      </c>
      <c r="H33" s="97"/>
    </row>
    <row r="34" spans="1:8" ht="14.25">
      <c r="A34">
        <v>1</v>
      </c>
      <c r="B34" s="3">
        <v>39510</v>
      </c>
      <c r="C34" s="3">
        <v>39513</v>
      </c>
      <c r="D34" s="95" t="s">
        <v>1021</v>
      </c>
      <c r="E34" s="96" t="s">
        <v>1910</v>
      </c>
      <c r="F34" s="95" t="s">
        <v>1032</v>
      </c>
      <c r="G34" s="95">
        <v>11.043903345957533</v>
      </c>
      <c r="H34" s="97"/>
    </row>
    <row r="35" spans="1:8" ht="13.5">
      <c r="A35">
        <v>1</v>
      </c>
      <c r="B35" s="3">
        <v>39868</v>
      </c>
      <c r="C35" s="3">
        <v>39868</v>
      </c>
      <c r="D35" s="51" t="s">
        <v>1027</v>
      </c>
      <c r="E35" s="96" t="s">
        <v>1028</v>
      </c>
      <c r="F35" s="51" t="s">
        <v>1023</v>
      </c>
      <c r="G35" s="51">
        <v>5.458338396727022</v>
      </c>
      <c r="H35" s="51"/>
    </row>
    <row r="36" spans="1:8" ht="14.25">
      <c r="A36">
        <v>1</v>
      </c>
      <c r="B36" s="3">
        <v>39868</v>
      </c>
      <c r="C36" s="3">
        <v>39868</v>
      </c>
      <c r="D36" s="95" t="s">
        <v>1027</v>
      </c>
      <c r="E36" s="96" t="s">
        <v>1029</v>
      </c>
      <c r="F36" s="95" t="s">
        <v>1023</v>
      </c>
      <c r="G36" s="97">
        <v>0.1384805727091506</v>
      </c>
      <c r="H36" s="95"/>
    </row>
    <row r="37" spans="1:8" ht="13.5">
      <c r="A37">
        <v>1</v>
      </c>
      <c r="B37" s="3">
        <v>39875</v>
      </c>
      <c r="C37" s="3">
        <v>39875</v>
      </c>
      <c r="D37" s="95" t="s">
        <v>1021</v>
      </c>
      <c r="E37" s="96" t="s">
        <v>1216</v>
      </c>
      <c r="F37" s="95" t="s">
        <v>1018</v>
      </c>
      <c r="G37" s="95">
        <v>27.59</v>
      </c>
      <c r="H37" s="101"/>
    </row>
    <row r="38" spans="1:8" ht="14.25">
      <c r="A38">
        <v>1</v>
      </c>
      <c r="B38" s="3">
        <v>39898</v>
      </c>
      <c r="C38" s="3">
        <v>39898</v>
      </c>
      <c r="D38" s="95" t="s">
        <v>1027</v>
      </c>
      <c r="E38" s="96" t="s">
        <v>1030</v>
      </c>
      <c r="F38" s="95" t="s">
        <v>1023</v>
      </c>
      <c r="G38" s="51">
        <v>5.4251106409</v>
      </c>
      <c r="H38" s="97"/>
    </row>
    <row r="39" spans="1:8" ht="14.25">
      <c r="A39">
        <v>1</v>
      </c>
      <c r="B39" s="3">
        <v>39898</v>
      </c>
      <c r="C39" s="3">
        <v>39898</v>
      </c>
      <c r="D39" s="95" t="s">
        <v>1027</v>
      </c>
      <c r="E39" s="96" t="s">
        <v>1029</v>
      </c>
      <c r="F39" s="95" t="s">
        <v>1023</v>
      </c>
      <c r="G39" s="97">
        <v>6.366471886865637</v>
      </c>
      <c r="H39" s="95"/>
    </row>
    <row r="40" spans="1:8" ht="14.25">
      <c r="A40">
        <v>1</v>
      </c>
      <c r="B40" s="3">
        <v>39898</v>
      </c>
      <c r="C40" s="3">
        <v>39898</v>
      </c>
      <c r="D40" s="95" t="s">
        <v>1027</v>
      </c>
      <c r="E40" s="96" t="s">
        <v>1028</v>
      </c>
      <c r="F40" s="95" t="s">
        <v>1023</v>
      </c>
      <c r="G40" s="95">
        <v>82.79</v>
      </c>
      <c r="H40" s="97"/>
    </row>
    <row r="41" spans="1:8" ht="14.25">
      <c r="A41">
        <v>1</v>
      </c>
      <c r="B41" s="3">
        <v>39927</v>
      </c>
      <c r="C41" s="3">
        <v>39927</v>
      </c>
      <c r="D41" s="95" t="s">
        <v>1027</v>
      </c>
      <c r="E41" s="96" t="s">
        <v>1030</v>
      </c>
      <c r="F41" s="95" t="s">
        <v>1023</v>
      </c>
      <c r="G41" s="95">
        <v>4.8391433585</v>
      </c>
      <c r="H41" s="97"/>
    </row>
    <row r="42" spans="1:8" ht="14.25">
      <c r="A42">
        <v>1</v>
      </c>
      <c r="B42" s="3">
        <v>39959</v>
      </c>
      <c r="C42" s="3">
        <v>39959</v>
      </c>
      <c r="D42" s="95" t="s">
        <v>1027</v>
      </c>
      <c r="E42" s="96" t="s">
        <v>1030</v>
      </c>
      <c r="F42" s="95" t="s">
        <v>1023</v>
      </c>
      <c r="G42" s="95">
        <v>4.2586827528</v>
      </c>
      <c r="H42" s="97"/>
    </row>
    <row r="43" spans="1:8" ht="14.25">
      <c r="A43">
        <v>1</v>
      </c>
      <c r="B43" s="3">
        <v>39989</v>
      </c>
      <c r="C43" s="3">
        <v>39989</v>
      </c>
      <c r="D43" s="95" t="s">
        <v>1027</v>
      </c>
      <c r="E43" s="96" t="s">
        <v>1030</v>
      </c>
      <c r="F43" s="95" t="s">
        <v>1023</v>
      </c>
      <c r="G43" s="95">
        <v>7.620399766399999</v>
      </c>
      <c r="H43" s="97"/>
    </row>
    <row r="44" spans="1:8" ht="14.25">
      <c r="A44">
        <v>1</v>
      </c>
      <c r="B44" s="3">
        <v>39989</v>
      </c>
      <c r="C44" s="3">
        <v>39989</v>
      </c>
      <c r="D44" s="95" t="s">
        <v>1027</v>
      </c>
      <c r="E44" s="96" t="s">
        <v>1029</v>
      </c>
      <c r="F44" s="95" t="s">
        <v>1023</v>
      </c>
      <c r="G44" s="97">
        <v>0.47922125644586555</v>
      </c>
      <c r="H44" s="95"/>
    </row>
    <row r="45" spans="1:8" ht="14.25">
      <c r="A45">
        <v>1</v>
      </c>
      <c r="B45" s="3">
        <v>40022</v>
      </c>
      <c r="C45" s="3">
        <v>40022</v>
      </c>
      <c r="D45" s="95" t="s">
        <v>1027</v>
      </c>
      <c r="E45" s="96" t="s">
        <v>1028</v>
      </c>
      <c r="F45" s="95" t="s">
        <v>1023</v>
      </c>
      <c r="G45" s="95">
        <v>0.405580792</v>
      </c>
      <c r="H45" s="97"/>
    </row>
    <row r="46" spans="1:8" ht="14.25">
      <c r="A46">
        <v>1</v>
      </c>
      <c r="B46" s="3">
        <v>40022</v>
      </c>
      <c r="C46" s="3">
        <v>40022</v>
      </c>
      <c r="D46" s="95" t="s">
        <v>1027</v>
      </c>
      <c r="E46" s="96" t="s">
        <v>1030</v>
      </c>
      <c r="F46" s="95" t="s">
        <v>1023</v>
      </c>
      <c r="G46" s="95">
        <v>2.3734245337999997</v>
      </c>
      <c r="H46" s="97"/>
    </row>
    <row r="47" spans="1:8" ht="14.25">
      <c r="A47">
        <v>1</v>
      </c>
      <c r="B47" s="3">
        <v>39997</v>
      </c>
      <c r="C47" s="3">
        <v>40002</v>
      </c>
      <c r="D47" s="95" t="s">
        <v>1021</v>
      </c>
      <c r="E47" s="96" t="s">
        <v>1220</v>
      </c>
      <c r="F47" s="95" t="s">
        <v>1032</v>
      </c>
      <c r="G47" s="132">
        <v>195.7</v>
      </c>
      <c r="H47" s="97"/>
    </row>
    <row r="48" spans="1:8" ht="13.5">
      <c r="A48">
        <v>1</v>
      </c>
      <c r="B48" s="3">
        <v>39997</v>
      </c>
      <c r="C48" s="3">
        <v>40002</v>
      </c>
      <c r="D48" s="95" t="s">
        <v>1021</v>
      </c>
      <c r="E48" s="96" t="s">
        <v>1221</v>
      </c>
      <c r="F48" s="95" t="s">
        <v>1032</v>
      </c>
      <c r="G48" s="132">
        <v>24.03</v>
      </c>
      <c r="H48" s="95"/>
    </row>
    <row r="49" spans="1:8" ht="13.5">
      <c r="A49">
        <v>1</v>
      </c>
      <c r="B49" s="3">
        <v>39997</v>
      </c>
      <c r="C49" s="3">
        <v>40002</v>
      </c>
      <c r="D49" s="95" t="s">
        <v>1021</v>
      </c>
      <c r="E49" s="96" t="s">
        <v>1222</v>
      </c>
      <c r="F49" s="95" t="s">
        <v>1032</v>
      </c>
      <c r="G49" s="51">
        <v>3.04</v>
      </c>
      <c r="H49" s="51"/>
    </row>
    <row r="50" spans="1:8" ht="13.5">
      <c r="A50">
        <v>1</v>
      </c>
      <c r="B50" s="3">
        <v>39997</v>
      </c>
      <c r="C50" s="3">
        <v>40002</v>
      </c>
      <c r="D50" s="95" t="s">
        <v>1021</v>
      </c>
      <c r="E50" s="96" t="s">
        <v>1223</v>
      </c>
      <c r="F50" s="95" t="s">
        <v>1032</v>
      </c>
      <c r="G50" s="51">
        <v>0.5</v>
      </c>
      <c r="H50" s="51"/>
    </row>
    <row r="51" spans="1:8" ht="13.5">
      <c r="A51">
        <v>1</v>
      </c>
      <c r="B51" s="3">
        <v>39997</v>
      </c>
      <c r="C51" s="3">
        <v>40002</v>
      </c>
      <c r="D51" s="95" t="s">
        <v>1021</v>
      </c>
      <c r="E51" s="96" t="s">
        <v>1224</v>
      </c>
      <c r="F51" s="95" t="s">
        <v>1032</v>
      </c>
      <c r="G51" s="51">
        <v>12</v>
      </c>
      <c r="H51" s="51"/>
    </row>
    <row r="52" spans="1:8" ht="13.5">
      <c r="A52">
        <v>1</v>
      </c>
      <c r="B52" s="3">
        <v>39997</v>
      </c>
      <c r="C52" s="3">
        <v>40002</v>
      </c>
      <c r="D52" s="95" t="s">
        <v>1021</v>
      </c>
      <c r="E52" s="96" t="s">
        <v>1225</v>
      </c>
      <c r="F52" s="95" t="s">
        <v>1032</v>
      </c>
      <c r="G52" s="51">
        <v>14</v>
      </c>
      <c r="H52" s="51"/>
    </row>
    <row r="53" spans="1:8" ht="13.5">
      <c r="A53">
        <v>1</v>
      </c>
      <c r="B53" s="3">
        <v>39997</v>
      </c>
      <c r="C53" s="3">
        <v>40002</v>
      </c>
      <c r="D53" s="95" t="s">
        <v>1021</v>
      </c>
      <c r="E53" s="96" t="s">
        <v>1099</v>
      </c>
      <c r="F53" s="95" t="s">
        <v>1032</v>
      </c>
      <c r="G53" s="51">
        <v>11.49</v>
      </c>
      <c r="H53" s="51"/>
    </row>
    <row r="54" spans="1:8" ht="13.5">
      <c r="A54">
        <v>1</v>
      </c>
      <c r="B54" s="3">
        <v>39997</v>
      </c>
      <c r="C54" s="3">
        <v>40002</v>
      </c>
      <c r="D54" s="95" t="s">
        <v>1021</v>
      </c>
      <c r="E54" s="96" t="s">
        <v>1272</v>
      </c>
      <c r="F54" s="95" t="s">
        <v>1032</v>
      </c>
      <c r="G54" s="95">
        <v>206</v>
      </c>
      <c r="H54" s="51"/>
    </row>
    <row r="55" spans="1:8" ht="13.5">
      <c r="A55">
        <v>1</v>
      </c>
      <c r="B55" s="3">
        <v>40001</v>
      </c>
      <c r="C55" s="3">
        <v>40004</v>
      </c>
      <c r="D55" s="95" t="s">
        <v>1021</v>
      </c>
      <c r="E55" s="96" t="s">
        <v>1259</v>
      </c>
      <c r="F55" s="95" t="s">
        <v>1032</v>
      </c>
      <c r="G55" s="51">
        <v>2.856</v>
      </c>
      <c r="H55" s="51"/>
    </row>
    <row r="56" spans="1:8" ht="13.5">
      <c r="A56">
        <v>1</v>
      </c>
      <c r="B56" s="3">
        <v>40001</v>
      </c>
      <c r="C56" s="3">
        <v>40004</v>
      </c>
      <c r="D56" s="95" t="s">
        <v>1021</v>
      </c>
      <c r="E56" s="96" t="s">
        <v>1260</v>
      </c>
      <c r="F56" s="95" t="s">
        <v>1032</v>
      </c>
      <c r="G56" s="51">
        <v>18.7</v>
      </c>
      <c r="H56" s="51">
        <v>18.8</v>
      </c>
    </row>
    <row r="57" spans="1:8" ht="13.5">
      <c r="A57">
        <v>1</v>
      </c>
      <c r="B57" s="3">
        <v>40001</v>
      </c>
      <c r="C57" s="3">
        <v>40004</v>
      </c>
      <c r="D57" s="51" t="s">
        <v>1021</v>
      </c>
      <c r="E57" s="96" t="s">
        <v>1261</v>
      </c>
      <c r="F57" s="51" t="s">
        <v>1032</v>
      </c>
      <c r="G57" s="51">
        <v>26.76</v>
      </c>
      <c r="H57" s="51">
        <v>26.74</v>
      </c>
    </row>
    <row r="58" spans="1:8" ht="13.5">
      <c r="A58">
        <v>1</v>
      </c>
      <c r="B58" s="3">
        <v>40001</v>
      </c>
      <c r="C58" s="3">
        <v>40004</v>
      </c>
      <c r="D58" s="51" t="s">
        <v>1021</v>
      </c>
      <c r="E58" s="96" t="s">
        <v>1262</v>
      </c>
      <c r="F58" s="51" t="s">
        <v>1032</v>
      </c>
      <c r="G58" s="51">
        <v>242.6</v>
      </c>
      <c r="H58" s="51">
        <v>242.1</v>
      </c>
    </row>
    <row r="59" spans="1:8" ht="13.5">
      <c r="A59">
        <v>1</v>
      </c>
      <c r="B59" s="3">
        <v>40001</v>
      </c>
      <c r="C59" s="3">
        <v>40004</v>
      </c>
      <c r="D59" s="51" t="s">
        <v>1021</v>
      </c>
      <c r="E59" s="96" t="s">
        <v>1263</v>
      </c>
      <c r="F59" s="51" t="s">
        <v>1032</v>
      </c>
      <c r="G59" s="51">
        <v>14.21</v>
      </c>
      <c r="H59" s="51">
        <v>14.19</v>
      </c>
    </row>
    <row r="60" spans="1:8" ht="13.5">
      <c r="A60">
        <v>1</v>
      </c>
      <c r="B60" s="3">
        <v>40001</v>
      </c>
      <c r="C60" s="3">
        <v>40004</v>
      </c>
      <c r="D60" s="51" t="s">
        <v>1021</v>
      </c>
      <c r="E60" s="96" t="s">
        <v>1264</v>
      </c>
      <c r="F60" s="51" t="s">
        <v>1032</v>
      </c>
      <c r="G60" s="51">
        <v>19.54</v>
      </c>
      <c r="H60" s="51">
        <v>19.49</v>
      </c>
    </row>
    <row r="61" spans="1:8" ht="13.5">
      <c r="A61">
        <v>1</v>
      </c>
      <c r="B61" s="3">
        <v>40001</v>
      </c>
      <c r="C61" s="3">
        <v>40004</v>
      </c>
      <c r="D61" s="51" t="s">
        <v>1021</v>
      </c>
      <c r="E61" s="96" t="s">
        <v>1266</v>
      </c>
      <c r="F61" s="51" t="s">
        <v>1032</v>
      </c>
      <c r="G61" s="51">
        <v>2.408</v>
      </c>
      <c r="H61" s="51">
        <v>24.01</v>
      </c>
    </row>
    <row r="62" spans="1:8" ht="13.5">
      <c r="A62">
        <v>1</v>
      </c>
      <c r="B62" s="3">
        <v>40004</v>
      </c>
      <c r="C62" s="3">
        <v>40009</v>
      </c>
      <c r="D62" s="51" t="s">
        <v>1021</v>
      </c>
      <c r="E62" s="96" t="s">
        <v>1233</v>
      </c>
      <c r="F62" s="51" t="s">
        <v>1032</v>
      </c>
      <c r="G62" s="51">
        <v>13</v>
      </c>
      <c r="H62" s="51"/>
    </row>
    <row r="63" spans="1:8" ht="13.5">
      <c r="A63">
        <v>1</v>
      </c>
      <c r="B63" s="3">
        <v>40004</v>
      </c>
      <c r="C63" s="3">
        <v>40009</v>
      </c>
      <c r="D63" s="51" t="s">
        <v>1021</v>
      </c>
      <c r="E63" s="96" t="s">
        <v>1234</v>
      </c>
      <c r="F63" s="51" t="s">
        <v>1032</v>
      </c>
      <c r="G63" s="51">
        <v>19.2</v>
      </c>
      <c r="H63" s="51"/>
    </row>
    <row r="64" spans="1:8" ht="13.5">
      <c r="A64">
        <v>1</v>
      </c>
      <c r="B64" s="3">
        <v>40004</v>
      </c>
      <c r="C64" s="3">
        <v>40009</v>
      </c>
      <c r="D64" s="51" t="s">
        <v>1021</v>
      </c>
      <c r="E64" s="96" t="s">
        <v>1235</v>
      </c>
      <c r="F64" s="51" t="s">
        <v>1032</v>
      </c>
      <c r="G64" s="51">
        <v>3.6</v>
      </c>
      <c r="H64" s="51"/>
    </row>
    <row r="65" spans="1:8" ht="13.5">
      <c r="A65">
        <v>1</v>
      </c>
      <c r="B65" s="3">
        <v>40004</v>
      </c>
      <c r="C65" s="3">
        <v>40009</v>
      </c>
      <c r="D65" s="51" t="s">
        <v>1021</v>
      </c>
      <c r="E65" s="96" t="s">
        <v>1236</v>
      </c>
      <c r="F65" s="51" t="s">
        <v>1032</v>
      </c>
      <c r="G65" s="51">
        <v>256</v>
      </c>
      <c r="H65" s="51"/>
    </row>
    <row r="66" spans="1:8" ht="13.5">
      <c r="A66">
        <v>1</v>
      </c>
      <c r="B66" s="3">
        <v>40004</v>
      </c>
      <c r="C66" s="3">
        <v>40009</v>
      </c>
      <c r="D66" s="51" t="s">
        <v>1021</v>
      </c>
      <c r="E66" s="96" t="s">
        <v>1237</v>
      </c>
      <c r="F66" s="51" t="s">
        <v>1032</v>
      </c>
      <c r="G66" s="51">
        <v>168</v>
      </c>
      <c r="H66" s="51"/>
    </row>
    <row r="67" spans="1:8" ht="13.5">
      <c r="A67">
        <v>1</v>
      </c>
      <c r="B67" s="3">
        <v>40004</v>
      </c>
      <c r="C67" s="3">
        <v>40009</v>
      </c>
      <c r="D67" s="51" t="s">
        <v>1021</v>
      </c>
      <c r="E67" s="96" t="s">
        <v>1238</v>
      </c>
      <c r="F67" s="51" t="s">
        <v>1032</v>
      </c>
      <c r="G67" s="51">
        <v>524</v>
      </c>
      <c r="H67" s="51"/>
    </row>
    <row r="68" spans="1:8" ht="13.5">
      <c r="A68">
        <v>1</v>
      </c>
      <c r="B68" s="3">
        <v>40004</v>
      </c>
      <c r="C68" s="3">
        <v>40009</v>
      </c>
      <c r="D68" s="51" t="s">
        <v>1021</v>
      </c>
      <c r="E68" s="96" t="s">
        <v>1239</v>
      </c>
      <c r="F68" s="51" t="s">
        <v>1032</v>
      </c>
      <c r="G68" s="51">
        <v>190</v>
      </c>
      <c r="H68" s="51"/>
    </row>
    <row r="69" spans="1:8" ht="13.5">
      <c r="A69">
        <v>1</v>
      </c>
      <c r="B69" s="3">
        <v>40004</v>
      </c>
      <c r="C69" s="3">
        <v>40009</v>
      </c>
      <c r="D69" s="51" t="s">
        <v>1021</v>
      </c>
      <c r="E69" s="96" t="s">
        <v>1240</v>
      </c>
      <c r="F69" s="51" t="s">
        <v>1032</v>
      </c>
      <c r="G69" s="51">
        <v>881</v>
      </c>
      <c r="H69" s="51">
        <v>882</v>
      </c>
    </row>
    <row r="70" spans="1:8" ht="13.5">
      <c r="A70">
        <v>1</v>
      </c>
      <c r="B70" s="3">
        <v>40004</v>
      </c>
      <c r="C70" s="3">
        <v>40009</v>
      </c>
      <c r="D70" s="51" t="s">
        <v>1021</v>
      </c>
      <c r="E70" s="96" t="s">
        <v>1241</v>
      </c>
      <c r="F70" s="51" t="s">
        <v>1032</v>
      </c>
      <c r="G70" s="51">
        <v>303</v>
      </c>
      <c r="H70" s="51"/>
    </row>
    <row r="71" spans="1:8" ht="13.5">
      <c r="A71">
        <v>1</v>
      </c>
      <c r="B71" s="3">
        <v>40004</v>
      </c>
      <c r="C71" s="3">
        <v>40009</v>
      </c>
      <c r="D71" s="51" t="s">
        <v>1021</v>
      </c>
      <c r="E71" s="96" t="s">
        <v>1242</v>
      </c>
      <c r="F71" s="51" t="s">
        <v>1032</v>
      </c>
      <c r="G71" s="51">
        <v>177</v>
      </c>
      <c r="H71" s="51"/>
    </row>
    <row r="72" spans="1:8" ht="13.5">
      <c r="A72">
        <v>1</v>
      </c>
      <c r="B72" s="3">
        <v>40004</v>
      </c>
      <c r="C72" s="3">
        <v>40009</v>
      </c>
      <c r="D72" s="51" t="s">
        <v>1021</v>
      </c>
      <c r="E72" s="96" t="s">
        <v>1243</v>
      </c>
      <c r="F72" s="51" t="s">
        <v>1032</v>
      </c>
      <c r="G72" s="51">
        <v>1475</v>
      </c>
      <c r="H72" s="51"/>
    </row>
    <row r="73" spans="1:8" ht="13.5">
      <c r="A73">
        <v>1</v>
      </c>
      <c r="B73" s="3">
        <v>40004</v>
      </c>
      <c r="C73" s="3">
        <v>40009</v>
      </c>
      <c r="D73" s="51" t="s">
        <v>1021</v>
      </c>
      <c r="E73" s="96" t="s">
        <v>1244</v>
      </c>
      <c r="F73" s="51" t="s">
        <v>1032</v>
      </c>
      <c r="G73" s="51">
        <v>1075</v>
      </c>
      <c r="H73" s="51"/>
    </row>
    <row r="74" spans="1:8" ht="13.5">
      <c r="A74">
        <v>1</v>
      </c>
      <c r="B74" s="3">
        <v>40004</v>
      </c>
      <c r="C74" s="3">
        <v>40009</v>
      </c>
      <c r="D74" s="51" t="s">
        <v>1021</v>
      </c>
      <c r="E74" s="96" t="s">
        <v>1245</v>
      </c>
      <c r="F74" s="51" t="s">
        <v>1032</v>
      </c>
      <c r="G74" s="51">
        <v>169</v>
      </c>
      <c r="H74" s="51"/>
    </row>
    <row r="75" spans="1:8" ht="13.5">
      <c r="A75">
        <v>1</v>
      </c>
      <c r="B75" s="3">
        <v>40004</v>
      </c>
      <c r="C75" s="3">
        <v>40009</v>
      </c>
      <c r="D75" s="51" t="s">
        <v>1021</v>
      </c>
      <c r="E75" s="96" t="s">
        <v>1251</v>
      </c>
      <c r="F75" s="51" t="s">
        <v>1032</v>
      </c>
      <c r="G75" s="51">
        <v>186</v>
      </c>
      <c r="H75" s="51"/>
    </row>
    <row r="76" spans="1:8" ht="13.5">
      <c r="A76">
        <v>1</v>
      </c>
      <c r="B76" s="3">
        <v>40004</v>
      </c>
      <c r="C76" s="3">
        <v>40009</v>
      </c>
      <c r="D76" s="51" t="s">
        <v>1021</v>
      </c>
      <c r="E76" s="96" t="s">
        <v>1252</v>
      </c>
      <c r="F76" s="51" t="s">
        <v>1032</v>
      </c>
      <c r="G76" s="51">
        <v>250</v>
      </c>
      <c r="H76" s="51"/>
    </row>
    <row r="77" spans="1:8" ht="13.5">
      <c r="A77">
        <v>1</v>
      </c>
      <c r="B77" s="3">
        <v>40004</v>
      </c>
      <c r="C77" s="3">
        <v>40009</v>
      </c>
      <c r="D77" s="51" t="s">
        <v>1021</v>
      </c>
      <c r="E77" s="96" t="s">
        <v>1253</v>
      </c>
      <c r="F77" s="51" t="s">
        <v>1032</v>
      </c>
      <c r="G77" s="51">
        <v>136</v>
      </c>
      <c r="H77" s="51"/>
    </row>
    <row r="78" spans="1:8" ht="13.5">
      <c r="A78">
        <v>1</v>
      </c>
      <c r="B78" s="3">
        <v>40004</v>
      </c>
      <c r="C78" s="3">
        <v>40009</v>
      </c>
      <c r="D78" s="51" t="s">
        <v>1021</v>
      </c>
      <c r="E78" s="96" t="s">
        <v>1254</v>
      </c>
      <c r="F78" s="51" t="s">
        <v>1032</v>
      </c>
      <c r="G78" s="51">
        <v>2268</v>
      </c>
      <c r="H78" s="51"/>
    </row>
    <row r="79" spans="1:8" ht="13.5">
      <c r="A79">
        <v>1</v>
      </c>
      <c r="B79" s="3">
        <v>40004</v>
      </c>
      <c r="C79" s="3">
        <v>40009</v>
      </c>
      <c r="D79" s="51" t="s">
        <v>1021</v>
      </c>
      <c r="E79" s="96" t="s">
        <v>1255</v>
      </c>
      <c r="F79" s="51" t="s">
        <v>1032</v>
      </c>
      <c r="G79" s="51">
        <v>135</v>
      </c>
      <c r="H79" s="51"/>
    </row>
    <row r="80" spans="1:8" ht="13.5">
      <c r="A80">
        <v>1</v>
      </c>
      <c r="B80" s="3">
        <v>40004</v>
      </c>
      <c r="C80" s="3">
        <v>40009</v>
      </c>
      <c r="D80" s="51" t="s">
        <v>1021</v>
      </c>
      <c r="E80" s="96" t="s">
        <v>1256</v>
      </c>
      <c r="F80" s="51" t="s">
        <v>1032</v>
      </c>
      <c r="G80" s="51">
        <v>772</v>
      </c>
      <c r="H80" s="51"/>
    </row>
    <row r="81" spans="1:8" ht="13.5">
      <c r="A81">
        <v>1</v>
      </c>
      <c r="B81" s="3">
        <v>40004</v>
      </c>
      <c r="C81" s="3">
        <v>40009</v>
      </c>
      <c r="D81" s="51" t="s">
        <v>1021</v>
      </c>
      <c r="E81" s="96" t="s">
        <v>1257</v>
      </c>
      <c r="F81" s="51" t="s">
        <v>1032</v>
      </c>
      <c r="G81" s="51">
        <v>146</v>
      </c>
      <c r="H81" s="51"/>
    </row>
    <row r="82" spans="1:8" ht="13.5">
      <c r="A82">
        <v>1</v>
      </c>
      <c r="B82" s="3">
        <v>40004</v>
      </c>
      <c r="C82" s="3">
        <v>40009</v>
      </c>
      <c r="D82" s="51" t="s">
        <v>1021</v>
      </c>
      <c r="E82" s="96" t="s">
        <v>1258</v>
      </c>
      <c r="F82" s="51" t="s">
        <v>1032</v>
      </c>
      <c r="G82" s="51">
        <v>769</v>
      </c>
      <c r="H82" s="51"/>
    </row>
    <row r="83" spans="1:8" ht="13.5">
      <c r="A83">
        <v>1</v>
      </c>
      <c r="B83" s="3">
        <v>40007</v>
      </c>
      <c r="C83" s="3">
        <v>40010</v>
      </c>
      <c r="D83" s="51" t="s">
        <v>1021</v>
      </c>
      <c r="E83" s="96" t="s">
        <v>1226</v>
      </c>
      <c r="F83" s="51" t="s">
        <v>1032</v>
      </c>
      <c r="G83" s="51">
        <v>12.5041</v>
      </c>
      <c r="H83" s="51">
        <v>12.5</v>
      </c>
    </row>
    <row r="84" spans="1:8" ht="13.5">
      <c r="A84">
        <v>1</v>
      </c>
      <c r="B84" s="3">
        <v>40007</v>
      </c>
      <c r="C84" s="3">
        <v>40010</v>
      </c>
      <c r="D84" s="51" t="s">
        <v>1021</v>
      </c>
      <c r="E84" s="96" t="s">
        <v>1227</v>
      </c>
      <c r="F84" s="51" t="s">
        <v>1032</v>
      </c>
      <c r="G84" s="51">
        <v>72.55</v>
      </c>
      <c r="H84" s="51">
        <v>72</v>
      </c>
    </row>
    <row r="85" spans="1:8" ht="13.5">
      <c r="A85">
        <v>1</v>
      </c>
      <c r="B85" s="3">
        <v>40007</v>
      </c>
      <c r="C85" s="3">
        <v>40010</v>
      </c>
      <c r="D85" s="51" t="s">
        <v>1021</v>
      </c>
      <c r="E85" s="96" t="s">
        <v>1228</v>
      </c>
      <c r="F85" s="51" t="s">
        <v>1032</v>
      </c>
      <c r="G85" s="51"/>
      <c r="H85" s="51"/>
    </row>
    <row r="86" spans="1:8" ht="13.5">
      <c r="A86">
        <v>1</v>
      </c>
      <c r="B86" s="3">
        <v>40008</v>
      </c>
      <c r="C86" s="3">
        <v>40015</v>
      </c>
      <c r="D86" s="51" t="s">
        <v>1021</v>
      </c>
      <c r="E86" s="96" t="s">
        <v>1198</v>
      </c>
      <c r="F86" s="51" t="s">
        <v>1032</v>
      </c>
      <c r="G86" s="51">
        <v>117</v>
      </c>
      <c r="H86" s="51">
        <v>115</v>
      </c>
    </row>
    <row r="87" spans="1:8" ht="13.5">
      <c r="A87">
        <v>1</v>
      </c>
      <c r="B87" s="3">
        <v>40008</v>
      </c>
      <c r="C87" s="3">
        <v>40015</v>
      </c>
      <c r="D87" s="51" t="s">
        <v>1021</v>
      </c>
      <c r="E87" s="96" t="s">
        <v>1199</v>
      </c>
      <c r="F87" s="51" t="s">
        <v>1032</v>
      </c>
      <c r="G87" s="51">
        <v>143</v>
      </c>
      <c r="H87" s="51">
        <v>141</v>
      </c>
    </row>
    <row r="88" spans="1:8" ht="13.5">
      <c r="A88">
        <v>1</v>
      </c>
      <c r="B88" s="3">
        <v>40008</v>
      </c>
      <c r="C88" s="3">
        <v>40015</v>
      </c>
      <c r="D88" s="51" t="s">
        <v>1021</v>
      </c>
      <c r="E88" s="96" t="s">
        <v>1200</v>
      </c>
      <c r="F88" s="51" t="s">
        <v>1032</v>
      </c>
      <c r="G88" s="51">
        <v>115</v>
      </c>
      <c r="H88" s="51">
        <v>114</v>
      </c>
    </row>
    <row r="89" spans="1:8" ht="13.5">
      <c r="A89">
        <v>1</v>
      </c>
      <c r="B89" s="3">
        <v>40008</v>
      </c>
      <c r="C89" s="3">
        <v>40015</v>
      </c>
      <c r="D89" s="51" t="s">
        <v>1021</v>
      </c>
      <c r="E89" s="96" t="s">
        <v>1201</v>
      </c>
      <c r="F89" s="51" t="s">
        <v>1032</v>
      </c>
      <c r="G89" s="51">
        <v>99</v>
      </c>
      <c r="H89" s="51">
        <v>98</v>
      </c>
    </row>
    <row r="90" spans="1:8" ht="13.5">
      <c r="A90">
        <v>1</v>
      </c>
      <c r="B90" s="3">
        <v>40008</v>
      </c>
      <c r="C90" s="3">
        <v>40015</v>
      </c>
      <c r="D90" s="51" t="s">
        <v>1021</v>
      </c>
      <c r="E90" s="96" t="s">
        <v>1202</v>
      </c>
      <c r="F90" s="51" t="s">
        <v>1032</v>
      </c>
      <c r="G90" s="51">
        <v>167</v>
      </c>
      <c r="H90" s="51">
        <v>166</v>
      </c>
    </row>
    <row r="91" spans="1:8" ht="13.5">
      <c r="A91">
        <v>1</v>
      </c>
      <c r="B91" s="3">
        <v>40008</v>
      </c>
      <c r="C91" s="3">
        <v>40015</v>
      </c>
      <c r="D91" s="51" t="s">
        <v>1021</v>
      </c>
      <c r="E91" s="96" t="s">
        <v>1203</v>
      </c>
      <c r="F91" s="51" t="s">
        <v>1032</v>
      </c>
      <c r="G91" s="51">
        <v>64</v>
      </c>
      <c r="H91" s="51">
        <v>63</v>
      </c>
    </row>
    <row r="92" spans="1:8" ht="13.5">
      <c r="A92">
        <v>1</v>
      </c>
      <c r="B92" s="3">
        <v>40008</v>
      </c>
      <c r="C92" s="3">
        <v>40015</v>
      </c>
      <c r="D92" s="51" t="s">
        <v>1021</v>
      </c>
      <c r="E92" s="96" t="s">
        <v>1204</v>
      </c>
      <c r="F92" s="51" t="s">
        <v>1032</v>
      </c>
      <c r="G92" s="51">
        <v>124</v>
      </c>
      <c r="H92" s="51">
        <v>122</v>
      </c>
    </row>
    <row r="93" spans="1:8" ht="13.5">
      <c r="A93">
        <v>1</v>
      </c>
      <c r="B93" s="3">
        <v>40008</v>
      </c>
      <c r="C93" s="3">
        <v>40015</v>
      </c>
      <c r="D93" s="51" t="s">
        <v>1021</v>
      </c>
      <c r="E93" s="96" t="s">
        <v>1205</v>
      </c>
      <c r="F93" s="51" t="s">
        <v>1032</v>
      </c>
      <c r="G93" s="51">
        <v>124</v>
      </c>
      <c r="H93" s="51">
        <v>122</v>
      </c>
    </row>
    <row r="94" spans="1:8" ht="13.5">
      <c r="A94">
        <v>1</v>
      </c>
      <c r="B94" s="3">
        <v>40008</v>
      </c>
      <c r="C94" s="3">
        <v>40015</v>
      </c>
      <c r="D94" s="51" t="s">
        <v>1021</v>
      </c>
      <c r="E94" s="96" t="s">
        <v>1206</v>
      </c>
      <c r="F94" s="51" t="s">
        <v>1032</v>
      </c>
      <c r="G94" s="51">
        <v>55</v>
      </c>
      <c r="H94" s="51">
        <v>55</v>
      </c>
    </row>
    <row r="95" spans="1:8" ht="13.5">
      <c r="A95">
        <v>1</v>
      </c>
      <c r="B95" s="3">
        <v>40008</v>
      </c>
      <c r="C95" s="3">
        <v>40015</v>
      </c>
      <c r="D95" s="51" t="s">
        <v>1021</v>
      </c>
      <c r="E95" s="96" t="s">
        <v>1207</v>
      </c>
      <c r="F95" s="51" t="s">
        <v>1032</v>
      </c>
      <c r="G95" s="51">
        <v>114</v>
      </c>
      <c r="H95" s="51">
        <v>113</v>
      </c>
    </row>
    <row r="96" spans="1:8" ht="13.5">
      <c r="A96">
        <v>1</v>
      </c>
      <c r="B96" s="3">
        <v>40008</v>
      </c>
      <c r="C96" s="3">
        <v>40015</v>
      </c>
      <c r="D96" s="51" t="s">
        <v>1021</v>
      </c>
      <c r="E96" s="96" t="s">
        <v>1208</v>
      </c>
      <c r="F96" s="51" t="s">
        <v>1032</v>
      </c>
      <c r="G96" s="51">
        <v>125</v>
      </c>
      <c r="H96" s="51">
        <v>124</v>
      </c>
    </row>
    <row r="97" spans="1:8" ht="13.5">
      <c r="A97">
        <v>1</v>
      </c>
      <c r="B97" s="3">
        <v>40008</v>
      </c>
      <c r="C97" s="3">
        <v>40015</v>
      </c>
      <c r="D97" s="51" t="s">
        <v>1021</v>
      </c>
      <c r="E97" s="96" t="s">
        <v>1209</v>
      </c>
      <c r="F97" s="51" t="s">
        <v>1032</v>
      </c>
      <c r="G97" s="51">
        <v>81</v>
      </c>
      <c r="H97" s="51">
        <v>80</v>
      </c>
    </row>
    <row r="98" spans="1:8" ht="13.5">
      <c r="A98">
        <v>1</v>
      </c>
      <c r="B98" s="3">
        <v>40008</v>
      </c>
      <c r="C98" s="3">
        <v>40015</v>
      </c>
      <c r="D98" s="51" t="s">
        <v>1021</v>
      </c>
      <c r="E98" s="96" t="s">
        <v>1210</v>
      </c>
      <c r="F98" s="51" t="s">
        <v>1032</v>
      </c>
      <c r="G98" s="51">
        <v>139</v>
      </c>
      <c r="H98" s="51">
        <v>138</v>
      </c>
    </row>
    <row r="99" spans="1:8" ht="13.5">
      <c r="A99">
        <v>1</v>
      </c>
      <c r="B99" s="3">
        <v>40008</v>
      </c>
      <c r="C99" s="3">
        <v>40015</v>
      </c>
      <c r="D99" s="51" t="s">
        <v>1021</v>
      </c>
      <c r="E99" s="96" t="s">
        <v>1211</v>
      </c>
      <c r="F99" s="51" t="s">
        <v>1032</v>
      </c>
      <c r="G99" s="51">
        <v>84</v>
      </c>
      <c r="H99" s="51">
        <v>83</v>
      </c>
    </row>
    <row r="100" spans="1:8" ht="13.5">
      <c r="A100">
        <v>1</v>
      </c>
      <c r="B100" s="3">
        <v>40008</v>
      </c>
      <c r="C100" s="3">
        <v>40015</v>
      </c>
      <c r="D100" s="51" t="s">
        <v>1021</v>
      </c>
      <c r="E100" s="96" t="s">
        <v>1212</v>
      </c>
      <c r="F100" s="51" t="s">
        <v>1032</v>
      </c>
      <c r="G100" s="51">
        <v>107</v>
      </c>
      <c r="H100" s="51">
        <v>106</v>
      </c>
    </row>
    <row r="101" spans="1:8" ht="13.5">
      <c r="A101">
        <v>1</v>
      </c>
      <c r="B101" s="3">
        <v>40008</v>
      </c>
      <c r="C101" s="3">
        <v>40015</v>
      </c>
      <c r="D101" s="51" t="s">
        <v>1021</v>
      </c>
      <c r="E101" s="96" t="s">
        <v>1213</v>
      </c>
      <c r="F101" s="51" t="s">
        <v>1032</v>
      </c>
      <c r="G101" s="51">
        <v>93</v>
      </c>
      <c r="H101" s="51">
        <v>92</v>
      </c>
    </row>
    <row r="102" spans="1:8" ht="13.5">
      <c r="A102">
        <v>1</v>
      </c>
      <c r="B102" s="3">
        <v>40008</v>
      </c>
      <c r="C102" s="3">
        <v>40015</v>
      </c>
      <c r="D102" s="51" t="s">
        <v>1021</v>
      </c>
      <c r="E102" s="96" t="s">
        <v>1214</v>
      </c>
      <c r="F102" s="51" t="s">
        <v>1032</v>
      </c>
      <c r="G102" s="51">
        <v>93</v>
      </c>
      <c r="H102" s="51">
        <v>91</v>
      </c>
    </row>
    <row r="103" spans="1:8" ht="13.5">
      <c r="A103">
        <v>1</v>
      </c>
      <c r="B103" s="3">
        <v>40029</v>
      </c>
      <c r="C103" s="3">
        <v>40032</v>
      </c>
      <c r="D103" s="51" t="s">
        <v>1021</v>
      </c>
      <c r="E103" s="96" t="s">
        <v>1229</v>
      </c>
      <c r="F103" s="51" t="s">
        <v>1032</v>
      </c>
      <c r="G103" s="51">
        <v>135</v>
      </c>
      <c r="H103" s="51"/>
    </row>
    <row r="104" spans="1:8" ht="13.5">
      <c r="A104">
        <v>1</v>
      </c>
      <c r="B104" s="3">
        <v>40030</v>
      </c>
      <c r="C104" s="3">
        <v>40035</v>
      </c>
      <c r="D104" s="51" t="s">
        <v>1021</v>
      </c>
      <c r="E104" s="96" t="s">
        <v>1339</v>
      </c>
      <c r="F104" s="51" t="s">
        <v>1032</v>
      </c>
      <c r="G104" s="51">
        <v>12.2</v>
      </c>
      <c r="H104" s="51"/>
    </row>
    <row r="105" spans="1:8" ht="13.5">
      <c r="A105">
        <v>1</v>
      </c>
      <c r="B105" s="3">
        <v>40030</v>
      </c>
      <c r="C105" s="3">
        <v>40035</v>
      </c>
      <c r="D105" s="51" t="s">
        <v>1021</v>
      </c>
      <c r="E105" s="96" t="s">
        <v>1040</v>
      </c>
      <c r="F105" s="51" t="s">
        <v>1032</v>
      </c>
      <c r="G105" s="51">
        <v>98.8</v>
      </c>
      <c r="H105" s="51"/>
    </row>
    <row r="106" spans="1:8" ht="13.5">
      <c r="A106">
        <v>1</v>
      </c>
      <c r="B106" s="3">
        <v>40030</v>
      </c>
      <c r="C106" s="3">
        <v>40035</v>
      </c>
      <c r="D106" s="51" t="s">
        <v>1021</v>
      </c>
      <c r="E106" s="96" t="s">
        <v>1041</v>
      </c>
      <c r="F106" s="51" t="s">
        <v>1032</v>
      </c>
      <c r="G106" s="51">
        <v>10.79</v>
      </c>
      <c r="H106" s="51"/>
    </row>
    <row r="107" spans="1:8" ht="14.25">
      <c r="A107">
        <v>1</v>
      </c>
      <c r="B107" s="3">
        <v>40051</v>
      </c>
      <c r="C107" s="3">
        <v>40051</v>
      </c>
      <c r="D107" s="95" t="s">
        <v>1027</v>
      </c>
      <c r="E107" s="96" t="s">
        <v>1028</v>
      </c>
      <c r="F107" s="95" t="s">
        <v>1023</v>
      </c>
      <c r="G107" s="95">
        <v>5.171155094</v>
      </c>
      <c r="H107" s="97"/>
    </row>
    <row r="108" spans="1:8" ht="14.25">
      <c r="A108">
        <v>1</v>
      </c>
      <c r="B108" s="3">
        <v>40051</v>
      </c>
      <c r="C108" s="3">
        <v>40051</v>
      </c>
      <c r="D108" s="95" t="s">
        <v>1027</v>
      </c>
      <c r="E108" s="96" t="s">
        <v>1030</v>
      </c>
      <c r="F108" s="95" t="s">
        <v>1023</v>
      </c>
      <c r="G108" s="95">
        <v>5.7455585436000005</v>
      </c>
      <c r="H108" s="97"/>
    </row>
    <row r="109" spans="1:8" ht="14.25">
      <c r="A109" s="155">
        <v>1</v>
      </c>
      <c r="B109" s="156">
        <v>40051</v>
      </c>
      <c r="C109" s="156">
        <v>40051</v>
      </c>
      <c r="D109" s="159" t="s">
        <v>1027</v>
      </c>
      <c r="E109" s="158" t="s">
        <v>1029</v>
      </c>
      <c r="F109" s="159" t="s">
        <v>1023</v>
      </c>
      <c r="G109" s="160">
        <v>0.143128102</v>
      </c>
      <c r="H109" s="159"/>
    </row>
    <row r="110" spans="1:7" ht="13.5">
      <c r="A110">
        <v>1</v>
      </c>
      <c r="B110" s="3">
        <v>40064</v>
      </c>
      <c r="C110" s="3">
        <v>40064</v>
      </c>
      <c r="D110" s="95" t="s">
        <v>1021</v>
      </c>
      <c r="E110" s="96" t="s">
        <v>1099</v>
      </c>
      <c r="F110" s="95" t="s">
        <v>1032</v>
      </c>
      <c r="G110" s="51">
        <v>7.87</v>
      </c>
    </row>
    <row r="111" spans="1:8" ht="14.25">
      <c r="A111" s="155">
        <v>1</v>
      </c>
      <c r="B111" s="156">
        <v>40081</v>
      </c>
      <c r="C111" s="156">
        <v>40081</v>
      </c>
      <c r="D111" s="159" t="s">
        <v>1027</v>
      </c>
      <c r="E111" s="158" t="s">
        <v>1030</v>
      </c>
      <c r="F111" s="159" t="s">
        <v>1023</v>
      </c>
      <c r="G111" s="159">
        <v>5.3474106086</v>
      </c>
      <c r="H111" s="160"/>
    </row>
    <row r="112" spans="1:8" ht="13.5">
      <c r="A112" s="155">
        <v>1</v>
      </c>
      <c r="B112" s="156">
        <v>40081</v>
      </c>
      <c r="C112" s="156">
        <v>40081</v>
      </c>
      <c r="D112" s="159" t="s">
        <v>1027</v>
      </c>
      <c r="E112" s="96" t="s">
        <v>1029</v>
      </c>
      <c r="F112" s="95" t="s">
        <v>1023</v>
      </c>
      <c r="G112" s="51">
        <v>4.290500697926397</v>
      </c>
      <c r="H112" s="51"/>
    </row>
    <row r="113" spans="1:8" ht="13.5">
      <c r="A113" s="155">
        <v>1</v>
      </c>
      <c r="B113" s="156">
        <v>40081</v>
      </c>
      <c r="C113" s="156">
        <v>40081</v>
      </c>
      <c r="D113" s="159" t="s">
        <v>1027</v>
      </c>
      <c r="E113" s="96" t="s">
        <v>1028</v>
      </c>
      <c r="F113" s="95" t="s">
        <v>1023</v>
      </c>
      <c r="G113" s="159">
        <v>53.12</v>
      </c>
      <c r="H113" s="51"/>
    </row>
    <row r="114" spans="1:8" ht="13.5">
      <c r="A114" s="155">
        <v>1</v>
      </c>
      <c r="B114" s="156">
        <v>40081</v>
      </c>
      <c r="C114" s="156">
        <v>40081</v>
      </c>
      <c r="D114" s="159" t="s">
        <v>1027</v>
      </c>
      <c r="E114" s="158" t="s">
        <v>2026</v>
      </c>
      <c r="F114" s="95" t="s">
        <v>1023</v>
      </c>
      <c r="G114" s="159">
        <v>6.36</v>
      </c>
      <c r="H114" s="51"/>
    </row>
    <row r="115" spans="1:7" ht="13.5">
      <c r="A115" s="155">
        <v>1</v>
      </c>
      <c r="B115" s="156">
        <v>40081</v>
      </c>
      <c r="C115" s="156">
        <v>40081</v>
      </c>
      <c r="D115" s="159" t="s">
        <v>1027</v>
      </c>
      <c r="E115" s="158" t="s">
        <v>55</v>
      </c>
      <c r="F115" s="95" t="s">
        <v>1023</v>
      </c>
      <c r="G115" s="159">
        <v>1.2</v>
      </c>
    </row>
    <row r="116" spans="1:8" ht="14.25">
      <c r="A116" s="155">
        <v>1</v>
      </c>
      <c r="B116" s="156">
        <v>40113</v>
      </c>
      <c r="C116" s="156">
        <v>40113</v>
      </c>
      <c r="D116" s="159" t="s">
        <v>1027</v>
      </c>
      <c r="E116" s="158" t="s">
        <v>1030</v>
      </c>
      <c r="F116" s="159" t="s">
        <v>1023</v>
      </c>
      <c r="G116" s="159">
        <v>4.166193143999999</v>
      </c>
      <c r="H116" s="160"/>
    </row>
    <row r="117" spans="1:8" ht="13.5">
      <c r="A117">
        <v>1</v>
      </c>
      <c r="B117" s="3">
        <v>40119</v>
      </c>
      <c r="C117" s="3">
        <v>40123</v>
      </c>
      <c r="D117" s="51" t="s">
        <v>1021</v>
      </c>
      <c r="E117" s="96" t="s">
        <v>1339</v>
      </c>
      <c r="F117" s="51" t="s">
        <v>1032</v>
      </c>
      <c r="G117" s="51">
        <v>8.72</v>
      </c>
      <c r="H117" s="157"/>
    </row>
    <row r="118" spans="1:8" ht="13.5">
      <c r="A118" s="155">
        <v>1</v>
      </c>
      <c r="B118" s="156">
        <v>40122</v>
      </c>
      <c r="C118" s="156">
        <v>40127</v>
      </c>
      <c r="D118" s="51" t="s">
        <v>1021</v>
      </c>
      <c r="E118" s="96" t="s">
        <v>1339</v>
      </c>
      <c r="F118" s="51" t="s">
        <v>1032</v>
      </c>
      <c r="G118" s="51">
        <v>15.6</v>
      </c>
      <c r="H118" s="157"/>
    </row>
    <row r="119" spans="1:8" ht="13.5">
      <c r="A119" s="155">
        <v>1</v>
      </c>
      <c r="B119" s="156">
        <v>40122</v>
      </c>
      <c r="C119" s="156">
        <v>40127</v>
      </c>
      <c r="D119" s="51" t="s">
        <v>1021</v>
      </c>
      <c r="E119" s="96" t="s">
        <v>1040</v>
      </c>
      <c r="F119" s="51" t="s">
        <v>1032</v>
      </c>
      <c r="G119" s="51">
        <v>103.9</v>
      </c>
      <c r="H119" s="51"/>
    </row>
    <row r="120" spans="1:8" ht="13.5">
      <c r="A120" s="155">
        <v>1</v>
      </c>
      <c r="B120" s="156">
        <v>40122</v>
      </c>
      <c r="C120" s="156">
        <v>40127</v>
      </c>
      <c r="D120" s="51" t="s">
        <v>1021</v>
      </c>
      <c r="E120" s="158" t="s">
        <v>1041</v>
      </c>
      <c r="F120" s="51" t="s">
        <v>1032</v>
      </c>
      <c r="G120" s="157">
        <v>6.88</v>
      </c>
      <c r="H120" s="157"/>
    </row>
    <row r="121" spans="1:8" ht="14.25">
      <c r="A121" s="155">
        <v>1</v>
      </c>
      <c r="B121" s="156">
        <v>40143</v>
      </c>
      <c r="C121" s="156">
        <v>40143</v>
      </c>
      <c r="D121" s="159" t="s">
        <v>1027</v>
      </c>
      <c r="E121" s="158" t="s">
        <v>1030</v>
      </c>
      <c r="F121" s="159" t="s">
        <v>1023</v>
      </c>
      <c r="G121" s="159">
        <v>3.7245832402</v>
      </c>
      <c r="H121" s="160"/>
    </row>
    <row r="122" spans="1:8" ht="13.5">
      <c r="A122" s="155">
        <v>1</v>
      </c>
      <c r="B122" s="156">
        <v>40175</v>
      </c>
      <c r="C122" s="156">
        <v>40175</v>
      </c>
      <c r="D122" s="159" t="s">
        <v>1027</v>
      </c>
      <c r="E122" s="96" t="s">
        <v>1028</v>
      </c>
      <c r="F122" s="159" t="s">
        <v>1023</v>
      </c>
      <c r="G122" s="51">
        <v>10.788449059052564</v>
      </c>
      <c r="H122" s="51"/>
    </row>
    <row r="123" spans="1:8" ht="14.25">
      <c r="A123" s="155">
        <v>1</v>
      </c>
      <c r="B123" s="156">
        <v>40175</v>
      </c>
      <c r="C123" s="156">
        <v>40175</v>
      </c>
      <c r="D123" s="159" t="s">
        <v>1027</v>
      </c>
      <c r="E123" s="158" t="s">
        <v>1030</v>
      </c>
      <c r="F123" s="159" t="s">
        <v>1023</v>
      </c>
      <c r="G123" s="51">
        <v>7.681766768</v>
      </c>
      <c r="H123" s="160"/>
    </row>
    <row r="124" spans="1:7" ht="13.5">
      <c r="A124" s="155">
        <v>1</v>
      </c>
      <c r="B124" s="156">
        <v>40184</v>
      </c>
      <c r="C124" s="156">
        <v>40186</v>
      </c>
      <c r="D124" s="51" t="s">
        <v>1021</v>
      </c>
      <c r="E124" s="158" t="s">
        <v>1041</v>
      </c>
      <c r="F124" s="51" t="s">
        <v>1032</v>
      </c>
      <c r="G124" s="157">
        <v>6.88</v>
      </c>
    </row>
    <row r="125" spans="1:7" ht="13.5">
      <c r="A125" s="155">
        <v>1</v>
      </c>
      <c r="B125" s="156">
        <v>40184</v>
      </c>
      <c r="C125" s="156">
        <v>40186</v>
      </c>
      <c r="D125" s="51" t="s">
        <v>1021</v>
      </c>
      <c r="E125" t="s">
        <v>1005</v>
      </c>
      <c r="F125" s="51" t="s">
        <v>1032</v>
      </c>
      <c r="G125">
        <v>10.96</v>
      </c>
    </row>
    <row r="126" spans="1:7" ht="13.5">
      <c r="A126" s="155">
        <v>1</v>
      </c>
      <c r="B126" s="156">
        <v>40184</v>
      </c>
      <c r="C126" s="156">
        <v>40186</v>
      </c>
      <c r="D126" s="51" t="s">
        <v>1021</v>
      </c>
      <c r="E126" t="s">
        <v>1006</v>
      </c>
      <c r="F126" s="51" t="s">
        <v>1032</v>
      </c>
      <c r="G126">
        <v>20.6</v>
      </c>
    </row>
    <row r="127" spans="1:7" ht="13.5">
      <c r="A127" s="155">
        <v>1</v>
      </c>
      <c r="B127" s="156">
        <v>40191</v>
      </c>
      <c r="C127" s="156">
        <v>40196</v>
      </c>
      <c r="D127" s="51" t="s">
        <v>1021</v>
      </c>
      <c r="E127" t="s">
        <v>1227</v>
      </c>
      <c r="F127" s="51" t="s">
        <v>1032</v>
      </c>
      <c r="G127">
        <v>56</v>
      </c>
    </row>
    <row r="128" spans="1:7" ht="13.5">
      <c r="A128" s="155">
        <v>1</v>
      </c>
      <c r="B128" s="156">
        <v>40191</v>
      </c>
      <c r="C128" s="156">
        <v>40196</v>
      </c>
      <c r="D128" s="51" t="s">
        <v>1021</v>
      </c>
      <c r="E128" t="s">
        <v>1228</v>
      </c>
      <c r="F128" s="51" t="s">
        <v>1032</v>
      </c>
      <c r="G128">
        <v>8.6</v>
      </c>
    </row>
    <row r="129" spans="1:7" ht="13.5">
      <c r="A129" s="155">
        <v>1</v>
      </c>
      <c r="B129" s="156">
        <v>40191</v>
      </c>
      <c r="C129" s="156">
        <v>40196</v>
      </c>
      <c r="D129" s="51" t="s">
        <v>1021</v>
      </c>
      <c r="E129" t="s">
        <v>1639</v>
      </c>
      <c r="F129" s="51" t="s">
        <v>1032</v>
      </c>
      <c r="G129">
        <v>0.36</v>
      </c>
    </row>
    <row r="130" spans="1:8" ht="14.25">
      <c r="A130">
        <v>1</v>
      </c>
      <c r="B130" s="3">
        <v>40196</v>
      </c>
      <c r="C130" s="3">
        <v>40199</v>
      </c>
      <c r="D130" s="95" t="s">
        <v>1021</v>
      </c>
      <c r="E130" s="96" t="s">
        <v>1198</v>
      </c>
      <c r="F130" s="95" t="s">
        <v>1032</v>
      </c>
      <c r="G130" s="97">
        <v>69</v>
      </c>
      <c r="H130" s="95"/>
    </row>
    <row r="131" spans="1:8" ht="14.25">
      <c r="A131">
        <v>1</v>
      </c>
      <c r="B131" s="3">
        <v>40196</v>
      </c>
      <c r="C131" s="3">
        <v>40199</v>
      </c>
      <c r="D131" s="95" t="s">
        <v>1021</v>
      </c>
      <c r="E131" s="96" t="s">
        <v>1199</v>
      </c>
      <c r="F131" s="95" t="s">
        <v>1032</v>
      </c>
      <c r="G131" s="97">
        <v>122</v>
      </c>
      <c r="H131" s="95"/>
    </row>
    <row r="132" spans="1:8" ht="14.25">
      <c r="A132">
        <v>1</v>
      </c>
      <c r="B132" s="3">
        <v>40196</v>
      </c>
      <c r="C132" s="3">
        <v>40199</v>
      </c>
      <c r="D132" s="95" t="s">
        <v>1021</v>
      </c>
      <c r="E132" s="96" t="s">
        <v>1200</v>
      </c>
      <c r="F132" s="95" t="s">
        <v>1032</v>
      </c>
      <c r="G132" s="97">
        <v>66</v>
      </c>
      <c r="H132" s="95"/>
    </row>
    <row r="133" spans="1:8" ht="14.25">
      <c r="A133">
        <v>1</v>
      </c>
      <c r="B133" s="3">
        <v>40196</v>
      </c>
      <c r="C133" s="3">
        <v>40199</v>
      </c>
      <c r="D133" s="95" t="s">
        <v>1021</v>
      </c>
      <c r="E133" s="96" t="s">
        <v>1201</v>
      </c>
      <c r="F133" s="95" t="s">
        <v>1032</v>
      </c>
      <c r="G133" s="97">
        <v>67</v>
      </c>
      <c r="H133" s="95"/>
    </row>
    <row r="134" spans="1:8" ht="14.25">
      <c r="A134">
        <v>1</v>
      </c>
      <c r="B134" s="3">
        <v>40196</v>
      </c>
      <c r="C134" s="3">
        <v>40199</v>
      </c>
      <c r="D134" s="95" t="s">
        <v>1021</v>
      </c>
      <c r="E134" s="96" t="s">
        <v>1202</v>
      </c>
      <c r="F134" s="95" t="s">
        <v>1032</v>
      </c>
      <c r="G134" s="97">
        <v>159</v>
      </c>
      <c r="H134" s="95"/>
    </row>
    <row r="135" spans="1:8" ht="14.25">
      <c r="A135">
        <v>1</v>
      </c>
      <c r="B135" s="3">
        <v>40196</v>
      </c>
      <c r="C135" s="3">
        <v>40199</v>
      </c>
      <c r="D135" s="95" t="s">
        <v>1021</v>
      </c>
      <c r="E135" s="96" t="s">
        <v>1203</v>
      </c>
      <c r="F135" s="95" t="s">
        <v>1032</v>
      </c>
      <c r="G135" s="97">
        <v>33</v>
      </c>
      <c r="H135" s="95"/>
    </row>
    <row r="136" spans="1:8" ht="14.25">
      <c r="A136">
        <v>1</v>
      </c>
      <c r="B136" s="3">
        <v>40196</v>
      </c>
      <c r="C136" s="3">
        <v>40199</v>
      </c>
      <c r="D136" s="95" t="s">
        <v>1021</v>
      </c>
      <c r="E136" s="96" t="s">
        <v>1204</v>
      </c>
      <c r="F136" s="95" t="s">
        <v>1032</v>
      </c>
      <c r="G136" s="97">
        <v>20</v>
      </c>
      <c r="H136" s="95"/>
    </row>
    <row r="137" spans="1:8" ht="14.25">
      <c r="A137">
        <v>1</v>
      </c>
      <c r="B137" s="3">
        <v>40196</v>
      </c>
      <c r="C137" s="3">
        <v>40199</v>
      </c>
      <c r="D137" s="95" t="s">
        <v>1021</v>
      </c>
      <c r="E137" s="96" t="s">
        <v>1205</v>
      </c>
      <c r="F137" s="95" t="s">
        <v>1032</v>
      </c>
      <c r="G137" s="97">
        <v>66</v>
      </c>
      <c r="H137" s="95"/>
    </row>
    <row r="138" spans="1:8" ht="14.25">
      <c r="A138">
        <v>1</v>
      </c>
      <c r="B138" s="3">
        <v>40196</v>
      </c>
      <c r="C138" s="3">
        <v>40199</v>
      </c>
      <c r="D138" s="95" t="s">
        <v>1021</v>
      </c>
      <c r="E138" s="96" t="s">
        <v>1206</v>
      </c>
      <c r="F138" s="95" t="s">
        <v>1032</v>
      </c>
      <c r="G138" s="97">
        <v>39</v>
      </c>
      <c r="H138" s="95"/>
    </row>
    <row r="139" spans="1:8" ht="14.25">
      <c r="A139">
        <v>1</v>
      </c>
      <c r="B139" s="3">
        <v>40196</v>
      </c>
      <c r="C139" s="3">
        <v>40199</v>
      </c>
      <c r="D139" s="95" t="s">
        <v>1021</v>
      </c>
      <c r="E139" s="96" t="s">
        <v>1207</v>
      </c>
      <c r="F139" s="95" t="s">
        <v>1032</v>
      </c>
      <c r="G139" s="97">
        <v>75</v>
      </c>
      <c r="H139" s="95"/>
    </row>
    <row r="140" spans="1:8" ht="14.25">
      <c r="A140">
        <v>1</v>
      </c>
      <c r="B140" s="3">
        <v>40196</v>
      </c>
      <c r="C140" s="3">
        <v>40199</v>
      </c>
      <c r="D140" s="95" t="s">
        <v>1021</v>
      </c>
      <c r="E140" s="96" t="s">
        <v>1208</v>
      </c>
      <c r="F140" s="95" t="s">
        <v>1032</v>
      </c>
      <c r="G140" s="97">
        <v>123</v>
      </c>
      <c r="H140" s="95"/>
    </row>
    <row r="141" spans="1:8" ht="14.25">
      <c r="A141">
        <v>1</v>
      </c>
      <c r="B141" s="3">
        <v>40196</v>
      </c>
      <c r="C141" s="3">
        <v>40199</v>
      </c>
      <c r="D141" s="95" t="s">
        <v>1021</v>
      </c>
      <c r="E141" s="96" t="s">
        <v>1209</v>
      </c>
      <c r="F141" s="95" t="s">
        <v>1032</v>
      </c>
      <c r="G141" s="97">
        <v>39</v>
      </c>
      <c r="H141" s="95"/>
    </row>
    <row r="142" spans="1:8" ht="14.25">
      <c r="A142">
        <v>1</v>
      </c>
      <c r="B142" s="3">
        <v>40196</v>
      </c>
      <c r="C142" s="3">
        <v>40199</v>
      </c>
      <c r="D142" s="95" t="s">
        <v>1021</v>
      </c>
      <c r="E142" s="96" t="s">
        <v>1210</v>
      </c>
      <c r="F142" s="95" t="s">
        <v>1032</v>
      </c>
      <c r="G142" s="97">
        <v>124</v>
      </c>
      <c r="H142" s="95"/>
    </row>
    <row r="143" spans="1:8" ht="14.25">
      <c r="A143">
        <v>1</v>
      </c>
      <c r="B143" s="3">
        <v>40196</v>
      </c>
      <c r="C143" s="3">
        <v>40199</v>
      </c>
      <c r="D143" s="95" t="s">
        <v>1021</v>
      </c>
      <c r="E143" s="96" t="s">
        <v>1211</v>
      </c>
      <c r="F143" s="95" t="s">
        <v>1032</v>
      </c>
      <c r="G143" s="97">
        <v>49</v>
      </c>
      <c r="H143" s="95"/>
    </row>
    <row r="144" spans="1:8" ht="14.25">
      <c r="A144">
        <v>1</v>
      </c>
      <c r="B144" s="3">
        <v>40196</v>
      </c>
      <c r="C144" s="3">
        <v>40199</v>
      </c>
      <c r="D144" s="95" t="s">
        <v>1021</v>
      </c>
      <c r="E144" s="96" t="s">
        <v>1212</v>
      </c>
      <c r="F144" s="95" t="s">
        <v>1032</v>
      </c>
      <c r="G144" s="97">
        <v>61</v>
      </c>
      <c r="H144" s="95"/>
    </row>
    <row r="145" spans="1:8" ht="14.25">
      <c r="A145">
        <v>1</v>
      </c>
      <c r="B145" s="3">
        <v>40196</v>
      </c>
      <c r="C145" s="3">
        <v>40199</v>
      </c>
      <c r="D145" s="95" t="s">
        <v>1021</v>
      </c>
      <c r="E145" s="96" t="s">
        <v>1213</v>
      </c>
      <c r="F145" s="95" t="s">
        <v>1032</v>
      </c>
      <c r="G145" s="97">
        <v>32</v>
      </c>
      <c r="H145" s="95"/>
    </row>
    <row r="146" spans="1:8" ht="14.25">
      <c r="A146">
        <v>1</v>
      </c>
      <c r="B146" s="3">
        <v>40196</v>
      </c>
      <c r="C146" s="3">
        <v>40199</v>
      </c>
      <c r="D146" s="95" t="s">
        <v>1021</v>
      </c>
      <c r="E146" s="96" t="s">
        <v>1214</v>
      </c>
      <c r="F146" s="95" t="s">
        <v>1032</v>
      </c>
      <c r="G146" s="97">
        <v>61</v>
      </c>
      <c r="H146" s="95"/>
    </row>
    <row r="147" spans="1:8" ht="14.25">
      <c r="A147">
        <v>1</v>
      </c>
      <c r="B147" s="3">
        <v>40198</v>
      </c>
      <c r="C147" s="3">
        <v>40200</v>
      </c>
      <c r="D147" s="95" t="s">
        <v>1021</v>
      </c>
      <c r="E147" s="96" t="s">
        <v>1584</v>
      </c>
      <c r="F147" s="95" t="s">
        <v>1032</v>
      </c>
      <c r="G147" s="70">
        <f>1.95*91</f>
        <v>177.45</v>
      </c>
      <c r="H147" s="51"/>
    </row>
    <row r="148" spans="1:8" ht="13.5">
      <c r="A148" s="155">
        <v>1</v>
      </c>
      <c r="B148" s="156">
        <v>40205</v>
      </c>
      <c r="C148" s="156">
        <v>40205</v>
      </c>
      <c r="D148" s="159" t="s">
        <v>1027</v>
      </c>
      <c r="E148" s="96" t="s">
        <v>1028</v>
      </c>
      <c r="F148" s="159" t="s">
        <v>1023</v>
      </c>
      <c r="G148" s="51">
        <v>0.687757909215956</v>
      </c>
      <c r="H148" s="51"/>
    </row>
    <row r="149" spans="1:8" ht="14.25">
      <c r="A149" s="155">
        <v>1</v>
      </c>
      <c r="B149" s="156">
        <v>40205</v>
      </c>
      <c r="C149" s="156">
        <v>40205</v>
      </c>
      <c r="D149" s="159" t="s">
        <v>1027</v>
      </c>
      <c r="E149" s="158" t="s">
        <v>1030</v>
      </c>
      <c r="F149" s="159" t="s">
        <v>1023</v>
      </c>
      <c r="G149" s="51">
        <v>5.8285311044000006</v>
      </c>
      <c r="H149" s="160"/>
    </row>
    <row r="150" spans="1:8" ht="13.5">
      <c r="A150" s="155">
        <v>1</v>
      </c>
      <c r="B150" s="156">
        <v>39849</v>
      </c>
      <c r="C150" s="156">
        <v>40219</v>
      </c>
      <c r="D150" s="159" t="s">
        <v>1021</v>
      </c>
      <c r="E150" s="158" t="s">
        <v>1031</v>
      </c>
      <c r="F150" s="159" t="s">
        <v>1032</v>
      </c>
      <c r="G150" s="51">
        <v>15.4</v>
      </c>
      <c r="H150" s="161"/>
    </row>
    <row r="151" spans="1:8" ht="13.5">
      <c r="A151" s="155">
        <v>1</v>
      </c>
      <c r="B151" s="156">
        <v>39849</v>
      </c>
      <c r="C151" s="156">
        <v>40219</v>
      </c>
      <c r="D151" s="159" t="s">
        <v>1021</v>
      </c>
      <c r="E151" s="158" t="s">
        <v>2069</v>
      </c>
      <c r="F151" s="159" t="s">
        <v>1032</v>
      </c>
      <c r="G151" s="51">
        <v>204</v>
      </c>
      <c r="H151" s="161"/>
    </row>
    <row r="152" spans="1:8" ht="13.5">
      <c r="A152" s="155">
        <v>1</v>
      </c>
      <c r="B152" s="156">
        <v>39849</v>
      </c>
      <c r="C152" s="156">
        <v>40219</v>
      </c>
      <c r="D152" s="159" t="s">
        <v>1021</v>
      </c>
      <c r="E152" s="158" t="s">
        <v>1040</v>
      </c>
      <c r="F152" s="159" t="s">
        <v>1032</v>
      </c>
      <c r="G152" s="51">
        <v>186.2</v>
      </c>
      <c r="H152" s="161"/>
    </row>
    <row r="153" spans="1:8" ht="13.5">
      <c r="A153" s="155">
        <v>1</v>
      </c>
      <c r="B153" s="156">
        <v>39849</v>
      </c>
      <c r="C153" s="156">
        <v>40219</v>
      </c>
      <c r="D153" s="159" t="s">
        <v>1021</v>
      </c>
      <c r="E153" s="158" t="s">
        <v>1041</v>
      </c>
      <c r="F153" s="159" t="s">
        <v>1032</v>
      </c>
      <c r="G153" s="51">
        <v>6.63</v>
      </c>
      <c r="H153" s="161"/>
    </row>
    <row r="154" spans="1:8" ht="13.5">
      <c r="A154" s="155">
        <v>1</v>
      </c>
      <c r="B154" s="263">
        <v>40233</v>
      </c>
      <c r="C154" s="263">
        <v>40233</v>
      </c>
      <c r="D154" s="159" t="s">
        <v>1027</v>
      </c>
      <c r="E154" s="158" t="s">
        <v>1028</v>
      </c>
      <c r="F154" s="159" t="s">
        <v>1023</v>
      </c>
      <c r="G154" s="51">
        <v>6.735981875556274</v>
      </c>
      <c r="H154" s="51"/>
    </row>
    <row r="155" spans="1:8" ht="13.5">
      <c r="A155" s="155">
        <v>1</v>
      </c>
      <c r="B155" s="263">
        <v>40233</v>
      </c>
      <c r="C155" s="263">
        <v>40233</v>
      </c>
      <c r="D155" s="159" t="s">
        <v>1027</v>
      </c>
      <c r="E155" s="158" t="s">
        <v>1030</v>
      </c>
      <c r="F155" s="159" t="s">
        <v>1023</v>
      </c>
      <c r="G155" s="51">
        <v>4.2412960379</v>
      </c>
      <c r="H155" s="51"/>
    </row>
    <row r="156" spans="1:7" ht="13.5">
      <c r="A156" s="155">
        <v>1</v>
      </c>
      <c r="B156" s="263">
        <v>40241</v>
      </c>
      <c r="C156" s="263">
        <v>40245</v>
      </c>
      <c r="D156" t="s">
        <v>1021</v>
      </c>
      <c r="E156" t="s">
        <v>1005</v>
      </c>
      <c r="F156" s="159" t="s">
        <v>1666</v>
      </c>
      <c r="G156">
        <v>9.56</v>
      </c>
    </row>
    <row r="157" spans="1:8" ht="13.5">
      <c r="A157" s="155">
        <v>1</v>
      </c>
      <c r="B157" s="263">
        <v>40245</v>
      </c>
      <c r="C157" s="263">
        <v>40247</v>
      </c>
      <c r="D157" t="s">
        <v>1021</v>
      </c>
      <c r="E157" s="96" t="s">
        <v>2069</v>
      </c>
      <c r="F157" s="159" t="s">
        <v>1666</v>
      </c>
      <c r="G157" s="51">
        <v>203</v>
      </c>
      <c r="H157" s="51"/>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2:V426"/>
  <sheetViews>
    <sheetView tabSelected="1" zoomScale="90" zoomScaleNormal="90" workbookViewId="0" topLeftCell="A1">
      <selection activeCell="G27" sqref="G27"/>
    </sheetView>
  </sheetViews>
  <sheetFormatPr defaultColWidth="9.00390625" defaultRowHeight="13.5"/>
  <cols>
    <col min="1" max="1" width="2.25390625" style="0" customWidth="1"/>
    <col min="2" max="2" width="18.25390625" style="0" customWidth="1"/>
    <col min="3" max="3" width="29.25390625" style="0" customWidth="1"/>
    <col min="4" max="4" width="6.125" style="0" bestFit="1" customWidth="1"/>
    <col min="5" max="5" width="9.25390625" style="0" customWidth="1"/>
    <col min="6" max="6" width="15.625" style="0" customWidth="1"/>
    <col min="7" max="7" width="9.50390625" style="0" customWidth="1"/>
    <col min="8" max="8" width="10.875" style="0" customWidth="1"/>
    <col min="9" max="10" width="9.50390625" style="0" customWidth="1"/>
    <col min="11" max="11" width="16.625" style="0" bestFit="1" customWidth="1"/>
    <col min="12" max="12" width="10.75390625" style="0" customWidth="1"/>
    <col min="13" max="13" width="10.125" style="0" customWidth="1"/>
    <col min="14" max="14" width="12.875" style="0" bestFit="1" customWidth="1"/>
    <col min="15" max="15" width="13.125" style="0" bestFit="1" customWidth="1"/>
    <col min="16" max="16" width="18.625" style="0" customWidth="1"/>
  </cols>
  <sheetData>
    <row r="12" spans="7:9" ht="13.5">
      <c r="G12" s="3"/>
      <c r="I12" s="3"/>
    </row>
    <row r="15" spans="7:12" ht="13.5">
      <c r="G15" s="51"/>
      <c r="H15" s="51"/>
      <c r="I15" s="51"/>
      <c r="J15" s="51"/>
      <c r="K15" s="51"/>
      <c r="L15" s="51"/>
    </row>
    <row r="16" spans="4:12" ht="13.5">
      <c r="D16" s="21"/>
      <c r="F16" s="21"/>
      <c r="G16" s="51"/>
      <c r="H16" s="51"/>
      <c r="I16" s="51"/>
      <c r="J16" s="51"/>
      <c r="K16" s="51"/>
      <c r="L16" s="51"/>
    </row>
    <row r="17" spans="7:12" ht="13.5">
      <c r="G17" s="51"/>
      <c r="H17" s="51"/>
      <c r="I17" s="51"/>
      <c r="J17" s="51"/>
      <c r="K17" s="51"/>
      <c r="L17" s="51"/>
    </row>
    <row r="18" spans="4:12" ht="13.5">
      <c r="D18" s="21"/>
      <c r="F18" s="21"/>
      <c r="G18" s="51"/>
      <c r="H18" s="51"/>
      <c r="I18" s="51"/>
      <c r="J18" s="51"/>
      <c r="K18" s="51"/>
      <c r="L18" s="51"/>
    </row>
    <row r="19" spans="4:12" ht="13.5">
      <c r="D19" s="21"/>
      <c r="F19" s="21"/>
      <c r="G19" s="51"/>
      <c r="H19" s="51"/>
      <c r="I19" s="51"/>
      <c r="J19" s="51"/>
      <c r="K19" s="51"/>
      <c r="L19" s="51"/>
    </row>
    <row r="20" spans="4:12" ht="13.5">
      <c r="D20" s="21"/>
      <c r="F20" s="21"/>
      <c r="G20" s="51"/>
      <c r="H20" s="51"/>
      <c r="I20" s="51"/>
      <c r="J20" s="51"/>
      <c r="K20" s="51"/>
      <c r="L20" s="51"/>
    </row>
    <row r="21" spans="4:12" ht="13.5">
      <c r="D21" s="21"/>
      <c r="F21" s="21"/>
      <c r="G21" s="51"/>
      <c r="H21" s="51"/>
      <c r="I21" s="51"/>
      <c r="J21" s="51"/>
      <c r="K21" s="51"/>
      <c r="L21" s="51"/>
    </row>
    <row r="22" spans="4:12" ht="13.5">
      <c r="D22" s="21"/>
      <c r="F22" s="21"/>
      <c r="G22" s="51"/>
      <c r="H22" s="51"/>
      <c r="I22" s="51"/>
      <c r="J22" s="51"/>
      <c r="K22" s="51"/>
      <c r="L22" s="51"/>
    </row>
    <row r="23" spans="4:12" ht="13.5">
      <c r="D23" s="21"/>
      <c r="F23" s="21"/>
      <c r="G23" s="51"/>
      <c r="H23" s="51"/>
      <c r="I23" s="51"/>
      <c r="J23" s="51"/>
      <c r="K23" s="51"/>
      <c r="L23" s="51"/>
    </row>
    <row r="24" spans="4:12" ht="13.5">
      <c r="D24" s="21"/>
      <c r="F24" s="21"/>
      <c r="G24" s="51"/>
      <c r="H24" s="51"/>
      <c r="I24" s="51"/>
      <c r="J24" s="51"/>
      <c r="L24" s="51"/>
    </row>
    <row r="25" spans="4:12" ht="13.5">
      <c r="D25" s="21"/>
      <c r="F25" s="21"/>
      <c r="G25" s="51"/>
      <c r="H25" s="51"/>
      <c r="I25" s="51"/>
      <c r="J25" s="51"/>
      <c r="K25" s="51"/>
      <c r="L25" s="51"/>
    </row>
    <row r="26" spans="4:12" ht="13.5">
      <c r="D26" s="21"/>
      <c r="F26" s="21"/>
      <c r="G26" s="51"/>
      <c r="H26" s="51"/>
      <c r="I26" s="51"/>
      <c r="J26" s="51"/>
      <c r="K26" s="51"/>
      <c r="L26" s="51"/>
    </row>
    <row r="27" spans="2:15" ht="27">
      <c r="B27" t="s">
        <v>2024</v>
      </c>
      <c r="C27" t="s">
        <v>2025</v>
      </c>
      <c r="D27" t="s">
        <v>2023</v>
      </c>
      <c r="E27" t="s">
        <v>2041</v>
      </c>
      <c r="F27" t="s">
        <v>28</v>
      </c>
      <c r="G27" s="45" t="s">
        <v>27</v>
      </c>
      <c r="H27" s="51" t="s">
        <v>1964</v>
      </c>
      <c r="I27" s="45" t="s">
        <v>1033</v>
      </c>
      <c r="J27" s="61" t="s">
        <v>1096</v>
      </c>
      <c r="K27" s="61" t="s">
        <v>1965</v>
      </c>
      <c r="L27" s="61" t="s">
        <v>362</v>
      </c>
      <c r="M27" t="s">
        <v>363</v>
      </c>
      <c r="N27" t="s">
        <v>1953</v>
      </c>
      <c r="O27" t="s">
        <v>1015</v>
      </c>
    </row>
    <row r="28" spans="7:12" ht="13.5">
      <c r="G28" s="51"/>
      <c r="H28" s="51"/>
      <c r="I28" s="51"/>
      <c r="J28" s="51"/>
      <c r="K28" s="51"/>
      <c r="L28" s="51"/>
    </row>
    <row r="29" spans="7:16" ht="14.25" thickBot="1">
      <c r="G29" s="51"/>
      <c r="H29" s="51"/>
      <c r="I29" s="51"/>
      <c r="J29" s="51" t="s">
        <v>998</v>
      </c>
      <c r="K29" s="51"/>
      <c r="L29" s="51"/>
      <c r="P29" t="s">
        <v>1009</v>
      </c>
    </row>
    <row r="30" spans="2:18" ht="14.25">
      <c r="B30" t="s">
        <v>2029</v>
      </c>
      <c r="C30" s="7" t="s">
        <v>1000</v>
      </c>
      <c r="D30">
        <v>1309</v>
      </c>
      <c r="E30" s="217">
        <f>'基準価額'!E95</f>
        <v>27934</v>
      </c>
      <c r="F30" s="265">
        <f>'基準価額'!D95</f>
        <v>40253</v>
      </c>
      <c r="G30" s="57">
        <v>1</v>
      </c>
      <c r="H30" s="4">
        <f>E30/G30</f>
        <v>27934</v>
      </c>
      <c r="I30" s="4">
        <f>'基準価額'!I95</f>
        <v>0</v>
      </c>
      <c r="J30" s="72" t="str">
        <f>TEXT('指数取得'!$E$50,"0.00")&amp;"(元/"&amp;B30&amp;")×"&amp;TEXT('指数取得'!$E$104,"0.000")&amp;"(円/元)×(1"&amp;TEXT(O30,"+0.00%;-0.00%")&amp;")＝"&amp;TEXT(K30,"0")&amp;"円 ←1309.Oの推定NAV"</f>
        <v>2294.95(元/SSE50)×13.240(円/元)×(1-6.20%)＝28500円 ←1309.Oの推定NAV</v>
      </c>
      <c r="K30" s="84">
        <f>'指数取得'!E50*'指数取得'!E104*(1+'リアルタイムNAV一覧'!O30)-I30</f>
        <v>28500.36347925478</v>
      </c>
      <c r="L30" s="36">
        <f>'指数取得'!C50</f>
        <v>40256</v>
      </c>
      <c r="M30" s="35">
        <f>'指数取得'!D50</f>
        <v>0.6770833333333334</v>
      </c>
      <c r="N30" s="88">
        <f>'基準価額'!F95</f>
        <v>29781.32</v>
      </c>
      <c r="O30" s="77">
        <f>(H30-N30)/N30</f>
        <v>-0.06202948694013562</v>
      </c>
      <c r="P30" s="34" t="str">
        <f>HYPERLINK("http://company.nikkei.co.jp/disclose/disclose.aspx?scode="&amp;D30,"上証50開示")</f>
        <v>上証50開示</v>
      </c>
      <c r="Q30" s="37" t="str">
        <f>HYPERLINK("http://nextfunds.jp/lineup/"&amp;$D30&amp;"/detail.html","NEXT FUNDS("&amp;$D30&amp;")")</f>
        <v>NEXT FUNDS(1309)</v>
      </c>
      <c r="R30" s="37"/>
    </row>
    <row r="31" spans="2:19" ht="14.25">
      <c r="B31" t="s">
        <v>2030</v>
      </c>
      <c r="C31" s="6" t="s">
        <v>999</v>
      </c>
      <c r="D31">
        <v>1322</v>
      </c>
      <c r="E31" s="217">
        <f>'基準価額'!E86</f>
        <v>3825.75610351562</v>
      </c>
      <c r="F31" s="264">
        <f>'基準価額'!D86</f>
        <v>40254</v>
      </c>
      <c r="G31" s="57">
        <v>1</v>
      </c>
      <c r="H31" s="66">
        <f>E31/G31</f>
        <v>3825.75610351562</v>
      </c>
      <c r="I31" s="4">
        <f>'基準価額'!I86</f>
        <v>0</v>
      </c>
      <c r="J31" s="72" t="str">
        <f>TEXT('指数取得'!$E$51,"0.00")&amp;"(元/"&amp;B31&amp;")×"&amp;TEXT('指数取得'!$E$104,"0.000")&amp;"(円/元)÷10×(1"&amp;TEXT(O31,"+0.00%;-0.00%")&amp;")＝"&amp;TEXT(K31,"0")&amp;"円 ←1322.Tの推定NAV"</f>
        <v>3267.56(元/CSI300)×13.240(円/元)÷10×(1-9.88%)＝3899円 ←1322.Tの推定NAV</v>
      </c>
      <c r="K31" s="63">
        <f>'指数取得'!E51*'指数取得'!E104*(1+'リアルタイムNAV一覧'!O31)/10-I31</f>
        <v>3898.742265781732</v>
      </c>
      <c r="L31" s="36">
        <f>'指数取得'!C51</f>
        <v>40256</v>
      </c>
      <c r="M31" s="35">
        <f>'指数取得'!D51</f>
        <v>0.6673611111111111</v>
      </c>
      <c r="N31" s="88">
        <f>'基準価額'!F86</f>
        <v>42452.6015625</v>
      </c>
      <c r="O31" s="38">
        <f>(H31*10-N31)/N31</f>
        <v>-0.0988170423706009</v>
      </c>
      <c r="P31" s="34" t="str">
        <f>HYPERLINK("http://company.nikkei.co.jp/disclose/disclose.aspx?scode="&amp;D31,"パンダ50開示")</f>
        <v>パンダ50開示</v>
      </c>
      <c r="Q31" s="37" t="str">
        <f>HYPERLINK("http://www.nikkoam.com/cgi-bin/etf_funddata_table.cgi?fcode=1"&amp;D31&amp;"7","csv")</f>
        <v>csv</v>
      </c>
      <c r="R31" s="37"/>
      <c r="S31" s="34" t="str">
        <f>HYPERLINK("http://www.nikkoam.com/products/etf_data/etf-panda.xls","xls")</f>
        <v>xls</v>
      </c>
    </row>
    <row r="32" spans="2:16" ht="14.25">
      <c r="B32" t="s">
        <v>2031</v>
      </c>
      <c r="C32" t="s">
        <v>58</v>
      </c>
      <c r="D32">
        <v>1313</v>
      </c>
      <c r="E32" s="85"/>
      <c r="F32" s="266"/>
      <c r="G32" s="85"/>
      <c r="H32" s="85"/>
      <c r="I32" s="4">
        <f>'基準価額'!I104</f>
        <v>0</v>
      </c>
      <c r="J32" s="72" t="str">
        <f>TEXT(L32,"m/d ")&amp;TEXT(M32,"HH:MM ")&amp;TEXT('指数取得'!$E$58,"0.00")&amp;"(WON/"&amp;B32&amp;")÷"&amp;TEXT('指数取得'!$E$106,"0.000")&amp;"(WON/円)＝"&amp;TEXT(K32,"0.0")&amp;"円 ←1313.Tの推定NAV"</f>
        <v>3/18 14:49 22351.83(WON/KOSPI200)÷12.532(WON/円)＝1783.6円 ←1313.Tの推定NAV</v>
      </c>
      <c r="K32" s="63">
        <f>'指数取得'!E58/'指数取得'!E106-I32</f>
        <v>1783.580434088733</v>
      </c>
      <c r="L32" s="36">
        <f>'指数取得'!C58</f>
        <v>40255</v>
      </c>
      <c r="M32" s="243">
        <f>'指数取得'!D58</f>
        <v>0.6180208333333334</v>
      </c>
      <c r="N32" s="86"/>
      <c r="P32" s="34"/>
    </row>
    <row r="33" spans="1:18" ht="14.25">
      <c r="A33" s="12"/>
      <c r="B33" s="75" t="s">
        <v>361</v>
      </c>
      <c r="C33" s="6" t="s">
        <v>1036</v>
      </c>
      <c r="D33">
        <v>1323</v>
      </c>
      <c r="E33" s="86">
        <f>'基準価額'!E96</f>
        <v>31345</v>
      </c>
      <c r="F33" s="265">
        <f>'基準価額'!D96</f>
        <v>40249</v>
      </c>
      <c r="G33" s="57">
        <v>100</v>
      </c>
      <c r="H33" s="66">
        <f>E33/G33</f>
        <v>313.45</v>
      </c>
      <c r="I33" s="4">
        <f>'基準価額'!I96</f>
        <v>0</v>
      </c>
      <c r="J33" s="72" t="str">
        <f>TEXT(L33,"m/d ")&amp;TEXT(M33,"HH:MM ")&amp;TEXT('指数取得'!$E$56,"0.00")&amp;"(ZAR/"&amp;B33&amp;")×"&amp;TEXT('指数取得'!$E$103,"0.000")&amp;"(円/ZAR)÷1000×(1"&amp;TEXT(O33,"+0.00%;-0.00%")&amp;")＝"&amp;TEXT(K33,"0.0")&amp;"円 ←1323.Oの推定NAV"</f>
        <v>3/19 00:00 25887.14(ZAR/FTSE/JSE AFRICA TOP40 IX)×12.358(円/ZAR)÷1000×(1+3.05%)＝329.7円 ←1323.Oの推定NAV</v>
      </c>
      <c r="K33" s="63">
        <f>'指数取得'!E56*'指数取得'!E103*(1+O33)/1000-I33</f>
        <v>329.68017082043224</v>
      </c>
      <c r="L33" s="36">
        <f>'指数取得'!C56</f>
        <v>40256</v>
      </c>
      <c r="M33" s="352">
        <f>'指数取得'!D56</f>
        <v>0</v>
      </c>
      <c r="N33" s="88">
        <f>'基準価額'!F96</f>
        <v>304163.93</v>
      </c>
      <c r="O33" s="77">
        <f>(E33*10-N33)/N33</f>
        <v>0.030529819890215144</v>
      </c>
      <c r="P33" s="34" t="str">
        <f>HYPERLINK("http://company.nikkei.co.jp/disclose/disclose.aspx?scode="&amp;D33,"南ア40開示")</f>
        <v>南ア40開示</v>
      </c>
      <c r="Q33" s="37" t="str">
        <f aca="true" t="shared" si="0" ref="Q33:Q39">HYPERLINK("http://nextfunds.jp/lineup/"&amp;$D33&amp;"/detail.html","NEXT FUNDS("&amp;$D33&amp;")")</f>
        <v>NEXT FUNDS(1323)</v>
      </c>
      <c r="R33" s="37"/>
    </row>
    <row r="34" spans="1:18" ht="14.25">
      <c r="A34" s="12"/>
      <c r="B34" s="75" t="s">
        <v>351</v>
      </c>
      <c r="C34" s="69" t="s">
        <v>1037</v>
      </c>
      <c r="D34">
        <v>1324</v>
      </c>
      <c r="E34" s="86">
        <f>'基準価額'!E97</f>
        <v>14951</v>
      </c>
      <c r="F34" s="265">
        <f>'基準価額'!D97</f>
        <v>40249</v>
      </c>
      <c r="G34" s="57">
        <v>100</v>
      </c>
      <c r="H34" s="66">
        <f aca="true" t="shared" si="1" ref="H34:H40">E34/G34</f>
        <v>149.51</v>
      </c>
      <c r="I34" s="4">
        <f>'基準価額'!I97</f>
        <v>0</v>
      </c>
      <c r="J34" s="72" t="str">
        <f>TEXT(L34,"m/d ")&amp;TEXT(M34,"HH:MM ")&amp;TEXT('指数取得'!$E$54,"0.00")&amp;"(USD/"&amp;B34&amp;")×"&amp;TEXT('指数取得'!$E$105,"0.00")&amp;"(円/USD)÷1000×(1"&amp;TEXT(O34,"+0.00%;-0.00%")&amp;")＝"&amp;TEXT(K34,"0.0")&amp;"円 ←1324.Oの推定NAV"</f>
        <v>3/19 09:45 1558.80(USD/RUSSIAN RTS INDEX $)×90.41(円/USD)÷1000×(1+9.82%)＝154.8円 ←1324.Oの推定NAV</v>
      </c>
      <c r="K34" s="63">
        <f>'指数取得'!E54*'指数取得'!E105*(1+O34)/1000-I34</f>
        <v>154.756592945205</v>
      </c>
      <c r="L34" s="36">
        <f>'指数取得'!C54</f>
        <v>40256</v>
      </c>
      <c r="M34" s="352">
        <f>'指数取得'!D54+9/24</f>
        <v>0.40625</v>
      </c>
      <c r="N34" s="88">
        <f>'基準価額'!F97</f>
        <v>136145.7</v>
      </c>
      <c r="O34" s="77">
        <f>(E34*10-N34)/N34</f>
        <v>0.09816174877355648</v>
      </c>
      <c r="P34" s="34" t="str">
        <f>HYPERLINK("http://company.nikkei.co.jp/disclose/disclose.aspx?scode="&amp;D34,"RTS連動開示")</f>
        <v>RTS連動開示</v>
      </c>
      <c r="Q34" s="37" t="str">
        <f t="shared" si="0"/>
        <v>NEXT FUNDS(1324)</v>
      </c>
      <c r="R34" s="37"/>
    </row>
    <row r="35" spans="1:18" ht="14.25">
      <c r="A35" s="12"/>
      <c r="B35" s="12" t="s">
        <v>349</v>
      </c>
      <c r="C35" s="69" t="s">
        <v>1048</v>
      </c>
      <c r="D35">
        <v>1325</v>
      </c>
      <c r="E35" s="86">
        <f>'基準価額'!E98</f>
        <v>33514</v>
      </c>
      <c r="F35" s="265">
        <f>'基準価額'!D98</f>
        <v>40249</v>
      </c>
      <c r="G35" s="57">
        <v>100</v>
      </c>
      <c r="H35" s="66">
        <f t="shared" si="1"/>
        <v>335.14</v>
      </c>
      <c r="I35" s="4">
        <f>'基準価額'!I98</f>
        <v>0</v>
      </c>
      <c r="J35" s="72" t="str">
        <f>TEXT(L35,"m/d ")&amp;TEXT(M35,"HH:MM ")&amp;TEXT('指数取得'!$E$57,"0.00")&amp;"(BRL/"&amp;B35&amp;")×"&amp;TEXT('指数取得'!$E$101,"0.000")&amp;"(円/BRL)÷10000×(1"&amp;TEXT(O35,"+0.00%;-0.00%")&amp;")＝"&amp;TEXT(K35,"0.0")&amp;"円 ←1325.Tの推定NAV"</f>
        <v>3/19 01:05 68976.63(BRL/Bovespa)×5054.000(円/BRL)÷10000×(1-6.27%)＝326.7円 ←1325.Tの推定NAV</v>
      </c>
      <c r="K35" s="63">
        <f>'指数取得'!E57*'指数取得'!E101/1000000*(1+O35)-I35</f>
        <v>326.7488318520148</v>
      </c>
      <c r="L35" s="36">
        <f>'指数取得'!C57</f>
        <v>40256</v>
      </c>
      <c r="M35" s="352">
        <f>'指数取得'!D57</f>
        <v>0.04513888888888889</v>
      </c>
      <c r="N35" s="88">
        <f>'基準価額'!F98</f>
        <v>3575604.14</v>
      </c>
      <c r="O35" s="77">
        <f>(E35*100-N35)/N35</f>
        <v>-0.06270384841874585</v>
      </c>
      <c r="P35" s="34" t="str">
        <f>HYPERLINK("http://company.nikkei.co.jp/disclose/disclose.aspx?scode="&amp;D35,"ボベスパ開示")</f>
        <v>ボベスパ開示</v>
      </c>
      <c r="Q35" s="37" t="str">
        <f t="shared" si="0"/>
        <v>NEXT FUNDS(1325)</v>
      </c>
      <c r="R35" s="37"/>
    </row>
    <row r="36" spans="1:18" ht="14.25">
      <c r="A36" s="76"/>
      <c r="B36" s="76" t="s">
        <v>1002</v>
      </c>
      <c r="C36" s="69" t="s">
        <v>1038</v>
      </c>
      <c r="D36">
        <v>1340</v>
      </c>
      <c r="E36" s="86">
        <f>'基準価額'!E101</f>
        <v>18877</v>
      </c>
      <c r="F36" s="265">
        <f>'基準価額'!D101</f>
        <v>40219</v>
      </c>
      <c r="G36" s="57">
        <v>100</v>
      </c>
      <c r="H36" s="66">
        <f t="shared" si="1"/>
        <v>188.77</v>
      </c>
      <c r="I36" s="4">
        <f>'基準価額'!I101</f>
        <v>0</v>
      </c>
      <c r="J36" s="72" t="str">
        <f>TEXT(L36,"m/d ")&amp;M36&amp;TEXT('指数取得'!$E$102,"0.0000")&amp;"("&amp;B36&amp;")×100×(1"&amp;TEXT(O36,"+0.00%;-0.00%")&amp;")＝"&amp;TEXT(K36,"0.0")&amp;"円 ←1340.Oの推定NAV"</f>
        <v>3/19 0.08611111111111121.9890(INR/JPY)×100×(1-2.19%)＝194.5円 ←1340.Oの推定NAV</v>
      </c>
      <c r="K36" s="63">
        <f>'指数取得'!E102*100*(1+O36)-I36</f>
        <v>194.54068911917102</v>
      </c>
      <c r="L36" s="36">
        <f>'指数取得'!C101</f>
        <v>40256</v>
      </c>
      <c r="M36" s="35">
        <f>'指数取得'!D101</f>
        <v>0.08611111111111125</v>
      </c>
      <c r="N36" s="88">
        <f>'基準価額'!F101</f>
        <v>1.93</v>
      </c>
      <c r="O36" s="77">
        <f>(E36*0.0001-N36)/N36</f>
        <v>-0.021917098445595744</v>
      </c>
      <c r="P36" s="34" t="str">
        <f>HYPERLINK("http://company.nikkei.co.jp/disclose/disclose.aspx?scode="&amp;D36,"インドルピー開示")</f>
        <v>インドルピー開示</v>
      </c>
      <c r="Q36" s="37" t="str">
        <f t="shared" si="0"/>
        <v>NEXT FUNDS(1340)</v>
      </c>
      <c r="R36" s="37"/>
    </row>
    <row r="37" spans="1:18" ht="14.25">
      <c r="A37" s="12"/>
      <c r="B37" s="76" t="s">
        <v>350</v>
      </c>
      <c r="C37" s="69" t="s">
        <v>1040</v>
      </c>
      <c r="D37">
        <v>1341</v>
      </c>
      <c r="E37" s="86">
        <f>'基準価額'!E102</f>
        <v>47472</v>
      </c>
      <c r="F37" s="265">
        <f>'基準価額'!D102</f>
        <v>40219</v>
      </c>
      <c r="G37" s="57">
        <v>100</v>
      </c>
      <c r="H37" s="66">
        <f t="shared" si="1"/>
        <v>474.72</v>
      </c>
      <c r="I37" s="4">
        <f>'基準価額'!I102</f>
        <v>0</v>
      </c>
      <c r="J37" s="72" t="str">
        <f>TEXT(L37,"m/d ")&amp;M37&amp;TEXT('指数取得'!$E$101,"0.0000")&amp;"("&amp;B37&amp;")×100×(1"&amp;TEXT(O37,"+0.00%;-0.00%")&amp;")＝"&amp;TEXT(K37,"0")&amp;"円 ←1341.Oの推定NAV"</f>
        <v>3/19 0.08611111111111125054.0000(BRL/JPY)×100×(1-1.53%)＝4977円 ←1341.Oの推定NAV</v>
      </c>
      <c r="K37" s="63">
        <f>'指数取得'!E101*1*(1+O37)-I37</f>
        <v>4976.633229620411</v>
      </c>
      <c r="L37" s="36">
        <f>'指数取得'!C102</f>
        <v>40256</v>
      </c>
      <c r="M37" s="35">
        <f>'指数取得'!D102</f>
        <v>0.08611111111111125</v>
      </c>
      <c r="N37" s="88">
        <f>'基準価額'!F102</f>
        <v>48.21</v>
      </c>
      <c r="O37" s="77">
        <f>(E37*0.001-N37)/N37</f>
        <v>-0.015308027380211565</v>
      </c>
      <c r="P37" s="34" t="str">
        <f>HYPERLINK("http://company.nikkei.co.jp/disclose/disclose.aspx?scode="&amp;D37,"ブラジルレアル開示")</f>
        <v>ブラジルレアル開示</v>
      </c>
      <c r="Q37" s="37" t="str">
        <f t="shared" si="0"/>
        <v>NEXT FUNDS(1341)</v>
      </c>
      <c r="R37" s="37"/>
    </row>
    <row r="38" spans="1:18" ht="14.25">
      <c r="A38" s="12"/>
      <c r="B38" s="76" t="s">
        <v>1003</v>
      </c>
      <c r="C38" s="69" t="s">
        <v>1041</v>
      </c>
      <c r="D38">
        <v>1342</v>
      </c>
      <c r="E38" s="86">
        <f>'基準価額'!E103</f>
        <v>29155</v>
      </c>
      <c r="F38" s="265">
        <f>'基準価額'!D103</f>
        <v>40219</v>
      </c>
      <c r="G38" s="57">
        <v>100</v>
      </c>
      <c r="H38" s="66">
        <f t="shared" si="1"/>
        <v>291.55</v>
      </c>
      <c r="I38" s="4">
        <f>'基準価額'!I103</f>
        <v>0</v>
      </c>
      <c r="J38" s="72"/>
      <c r="K38" s="63"/>
      <c r="L38" s="36"/>
      <c r="M38" s="35"/>
      <c r="N38" s="88">
        <f>'基準価額'!F103</f>
        <v>2.97</v>
      </c>
      <c r="O38" s="77">
        <f>(E38*0.0001-N38)/N38</f>
        <v>-0.018350168350168346</v>
      </c>
      <c r="P38" s="34" t="str">
        <f>HYPERLINK("http://company.nikkei.co.jp/disclose/disclose.aspx?scode="&amp;D38,"ロシアルーブル開示")</f>
        <v>ロシアルーブル開示</v>
      </c>
      <c r="Q38" s="37" t="str">
        <f t="shared" si="0"/>
        <v>NEXT FUNDS(1342)</v>
      </c>
      <c r="R38" s="37"/>
    </row>
    <row r="39" spans="1:18" ht="14.25">
      <c r="A39" s="12"/>
      <c r="B39" s="12" t="s">
        <v>2034</v>
      </c>
      <c r="C39" t="s">
        <v>59</v>
      </c>
      <c r="D39">
        <v>1328</v>
      </c>
      <c r="E39" s="86">
        <f>'基準価額'!E100</f>
        <v>3113</v>
      </c>
      <c r="F39" s="265">
        <f>'基準価額'!D100</f>
        <v>40254</v>
      </c>
      <c r="G39" s="57">
        <v>1</v>
      </c>
      <c r="H39" s="66">
        <f t="shared" si="1"/>
        <v>3113</v>
      </c>
      <c r="I39" s="4">
        <f>'基準価額'!I100</f>
        <v>0</v>
      </c>
      <c r="J39" s="72" t="str">
        <f>TEXT(L39,"m/d ")&amp;" "&amp;TEXT('指数取得'!$E$37,"#")&amp;"(円/オンス)÷31.1035(グラム/オンス)×(1"&amp;TEXT(O39,"+0.00%;-0.00%")&amp;")＝"&amp;TEXT(K39,"0")&amp;"円 ←1328.Oの推定NAV"</f>
        <v>3/18  1124(円/オンス)÷31.1035(グラム/オンス)×(1-4.80%)＝3110円 ←1328.Oの推定NAV</v>
      </c>
      <c r="K39" s="63">
        <f>'指数取得'!$E$37*'指数取得'!$E$105/31.1035*(1+O39)-I39</f>
        <v>3109.7843597696824</v>
      </c>
      <c r="L39" s="36">
        <f>'指数取得'!C37</f>
        <v>40255</v>
      </c>
      <c r="M39" s="35">
        <f>'指数取得'!D37+14/24</f>
        <v>1.0861111111111112</v>
      </c>
      <c r="N39" s="88">
        <f>'基準価額'!F100</f>
        <v>3270.09</v>
      </c>
      <c r="O39" s="77">
        <f>(E39-N39)/N39</f>
        <v>-0.04803843319297026</v>
      </c>
      <c r="P39" s="34" t="str">
        <f>HYPERLINK("http://company.nikkei.co.jp/disclose/disclose.aspx?scode="&amp;D39,"金連動開示")</f>
        <v>金連動開示</v>
      </c>
      <c r="Q39" s="37" t="str">
        <f t="shared" si="0"/>
        <v>NEXT FUNDS(1328)</v>
      </c>
      <c r="R39" s="37"/>
    </row>
    <row r="40" spans="1:18" ht="14.25">
      <c r="A40" s="12"/>
      <c r="B40" s="12" t="s">
        <v>2034</v>
      </c>
      <c r="C40" t="s">
        <v>346</v>
      </c>
      <c r="D40">
        <v>1326</v>
      </c>
      <c r="E40" s="87">
        <f>'基準価額'!E91</f>
        <v>110.13</v>
      </c>
      <c r="F40" s="264">
        <f>'基準価額'!D91</f>
        <v>40253</v>
      </c>
      <c r="G40" s="62">
        <v>1</v>
      </c>
      <c r="H40" s="39">
        <f t="shared" si="1"/>
        <v>110.13</v>
      </c>
      <c r="I40" s="4">
        <f>'基準価額'!I91</f>
        <v>0</v>
      </c>
      <c r="J40" s="72" t="str">
        <f>TEXT(L40,"m/d ")&amp;" "&amp;TEXT('指数取得'!$E$37,"#")&amp;"(円/オンス)÷10×"&amp;TEXT('基準価額'!F91,"0.0000%")&amp;"＝"&amp;TEXT(K40,"0")&amp;"円 ←1326.Tの推定NAV"</f>
        <v>3/18  1124(円/オンス)÷10×97.9147%＝9949円 ←1326.Tの推定NAV</v>
      </c>
      <c r="K40" s="63">
        <f>'指数取得'!$E$37*'指数取得'!$E$105/10*(1+O40)-I40</f>
        <v>9948.736551765061</v>
      </c>
      <c r="L40" s="36">
        <f>$L$39</f>
        <v>40255</v>
      </c>
      <c r="M40" s="35">
        <f>$M$39</f>
        <v>1.0861111111111112</v>
      </c>
      <c r="N40" s="89">
        <f>N39</f>
        <v>3270.09</v>
      </c>
      <c r="O40" s="77">
        <f>'基準価額'!F91-1</f>
        <v>-0.020853200000000016</v>
      </c>
      <c r="P40" s="34" t="str">
        <f>HYPERLINK("http://company.nikkei.co.jp/disclose/disclose.aspx?scode="&amp;D40,"SPDRS金開示")</f>
        <v>SPDRS金開示</v>
      </c>
      <c r="Q40" s="37" t="str">
        <f>HYPERLINK("http://www.spdrgoldshares.com/sites/us/value/historical_archive/","Historical Archive ")</f>
        <v>Historical Archive </v>
      </c>
      <c r="R40" s="37"/>
    </row>
    <row r="41" spans="1:18" ht="14.25">
      <c r="A41" s="12"/>
      <c r="B41" s="121" t="s">
        <v>1100</v>
      </c>
      <c r="C41" t="s">
        <v>1933</v>
      </c>
      <c r="D41">
        <v>1327</v>
      </c>
      <c r="E41" s="4">
        <f>'基準価額'!E109</f>
        <v>3883.89</v>
      </c>
      <c r="F41" s="264">
        <f>'基準価額'!D109</f>
        <v>40247</v>
      </c>
      <c r="G41" s="123">
        <v>1</v>
      </c>
      <c r="H41" s="66">
        <f>E41/G41</f>
        <v>3883.89</v>
      </c>
      <c r="I41" s="4">
        <f>'基準価額'!I109</f>
        <v>0</v>
      </c>
      <c r="J41" s="120"/>
      <c r="K41" s="63">
        <f>'指数取得'!$E$48*'指数取得'!$E$105*(1+'指数取得'!$G$105)*(1+'指数取得'!$G$77)-I41</f>
        <v>3856.1531058840174</v>
      </c>
      <c r="L41" s="36">
        <f>'指数取得'!C48</f>
        <v>40256</v>
      </c>
      <c r="M41" s="35">
        <f>'指数取得'!D48</f>
        <v>0.034722222222222224</v>
      </c>
      <c r="N41" s="89"/>
      <c r="O41" s="77">
        <f>'基準価額'!F109</f>
        <v>-0.0357</v>
      </c>
      <c r="P41" s="34"/>
      <c r="Q41" s="37"/>
      <c r="R41" s="37"/>
    </row>
    <row r="42" spans="1:18" ht="14.25">
      <c r="A42" s="12"/>
      <c r="B42" s="12" t="s">
        <v>2026</v>
      </c>
      <c r="C42" t="str">
        <f>'基準価額'!B4</f>
        <v>TOPIX連動型上場投資信託</v>
      </c>
      <c r="D42">
        <f>'基準価額'!C4</f>
        <v>1306</v>
      </c>
      <c r="E42" s="4">
        <f>'基準価額'!E4</f>
        <v>96206</v>
      </c>
      <c r="F42" s="264">
        <f>'基準価額'!D4</f>
        <v>40254</v>
      </c>
      <c r="G42" s="62">
        <v>100</v>
      </c>
      <c r="H42" s="66">
        <f>E42/G42</f>
        <v>962.06</v>
      </c>
      <c r="I42" s="4">
        <f>'基準価額'!I4</f>
        <v>0</v>
      </c>
      <c r="J42" s="2">
        <f>IF(F42&gt;=L42,0,'指数取得'!G$3)</f>
        <v>-0.007008433340721742</v>
      </c>
      <c r="K42" s="63">
        <f aca="true" t="shared" si="2" ref="K42:K76">H42*(1+J42)-I42</f>
        <v>955.3174666202252</v>
      </c>
      <c r="L42" s="36">
        <f>'指数取得'!C3</f>
        <v>40255</v>
      </c>
      <c r="M42" s="124">
        <f>'指数取得'!D48</f>
        <v>0.034722222222222224</v>
      </c>
      <c r="O42" t="s">
        <v>1016</v>
      </c>
      <c r="Q42" s="37"/>
      <c r="R42" s="37"/>
    </row>
    <row r="43" spans="2:19" ht="14.25">
      <c r="B43" t="s">
        <v>2026</v>
      </c>
      <c r="C43" t="str">
        <f>'基準価額'!B63</f>
        <v>上場インデックスファンドＴＯＰＩＸ</v>
      </c>
      <c r="D43">
        <f>'基準価額'!C63</f>
        <v>1308</v>
      </c>
      <c r="E43" s="4">
        <f>'基準価額'!E64</f>
        <v>59998</v>
      </c>
      <c r="F43" s="264">
        <f>'基準価額'!D64</f>
        <v>40254</v>
      </c>
      <c r="G43" s="62">
        <v>100</v>
      </c>
      <c r="H43" s="66">
        <f aca="true" t="shared" si="3" ref="H43:H100">E43/G43</f>
        <v>599.98</v>
      </c>
      <c r="I43" s="4">
        <f>'基準価額'!I64</f>
        <v>0</v>
      </c>
      <c r="J43" s="2">
        <f>IF(F43&gt;=L43,0,'指数取得'!G$3)</f>
        <v>-0.007008433340721742</v>
      </c>
      <c r="K43" s="63">
        <f t="shared" si="2"/>
        <v>595.7750801642338</v>
      </c>
      <c r="L43" s="36">
        <f>$L$42</f>
        <v>40255</v>
      </c>
      <c r="M43" s="35">
        <f>$M$42</f>
        <v>0.034722222222222224</v>
      </c>
      <c r="P43" s="34" t="s">
        <v>1955</v>
      </c>
      <c r="Q43" s="37" t="str">
        <f>HYPERLINK("http://www.nikkoam.com/cgi-bin/etf_funddata_table.cgi?fcode=1"&amp;D43&amp;"5","csv")</f>
        <v>csv</v>
      </c>
      <c r="R43" s="37"/>
      <c r="S43" s="37" t="str">
        <f>HYPERLINK("http://www.nikkoam.com/products/etf_data/topix-me.xls","xls")</f>
        <v>xls</v>
      </c>
    </row>
    <row r="44" spans="2:14" ht="14.25">
      <c r="B44" t="s">
        <v>2026</v>
      </c>
      <c r="C44" t="str">
        <f>'基準価額'!B34</f>
        <v>ダイワ上場投信－トピックス</v>
      </c>
      <c r="D44">
        <f>'基準価額'!C34</f>
        <v>1305</v>
      </c>
      <c r="E44" s="4">
        <f>'基準価額'!E34</f>
        <v>9575</v>
      </c>
      <c r="F44" s="264">
        <f>'基準価額'!D34</f>
        <v>40254</v>
      </c>
      <c r="G44" s="62">
        <v>10</v>
      </c>
      <c r="H44" s="66">
        <f t="shared" si="3"/>
        <v>957.5</v>
      </c>
      <c r="I44" s="4">
        <f>'基準価額'!I34</f>
        <v>0</v>
      </c>
      <c r="J44" s="2">
        <f>IF(F44&gt;=L44,0,'指数取得'!G$3)</f>
        <v>-0.007008433340721742</v>
      </c>
      <c r="K44" s="63">
        <f t="shared" si="2"/>
        <v>950.7894250762589</v>
      </c>
      <c r="L44" s="36">
        <f>$L$42</f>
        <v>40255</v>
      </c>
      <c r="M44" s="35">
        <f>$M$42</f>
        <v>0.034722222222222224</v>
      </c>
      <c r="N44" s="21"/>
    </row>
    <row r="45" spans="2:14" ht="14.25">
      <c r="B45" t="s">
        <v>2026</v>
      </c>
      <c r="C45" t="str">
        <f>'基準価額'!B78</f>
        <v>ＭＡＸＩＳ トピックス上場投信</v>
      </c>
      <c r="D45">
        <f>'基準価額'!C78</f>
        <v>1348</v>
      </c>
      <c r="E45" s="4">
        <f>'基準価額'!E78</f>
        <v>94630</v>
      </c>
      <c r="F45" s="264">
        <f>'基準価額'!D78</f>
        <v>40254</v>
      </c>
      <c r="G45" s="62">
        <v>100</v>
      </c>
      <c r="H45" s="66">
        <f>E45/G45</f>
        <v>946.3</v>
      </c>
      <c r="I45" s="4">
        <f>'基準価額'!I78</f>
        <v>0</v>
      </c>
      <c r="J45" s="2">
        <f>IF(F45&gt;=L45,0,'指数取得'!G$3)</f>
        <v>-0.007008433340721742</v>
      </c>
      <c r="K45" s="63">
        <f>H45*(1+J45)-I45</f>
        <v>939.6679195296749</v>
      </c>
      <c r="L45" s="36">
        <f>$L$42</f>
        <v>40255</v>
      </c>
      <c r="M45" s="35">
        <f>$M$42</f>
        <v>0.034722222222222224</v>
      </c>
      <c r="N45" s="21"/>
    </row>
    <row r="46" spans="2:18" ht="14.25">
      <c r="B46" t="s">
        <v>2027</v>
      </c>
      <c r="C46" t="str">
        <f>'基準価額'!B3</f>
        <v>日経225連動型上場投資信託</v>
      </c>
      <c r="D46">
        <f>'基準価額'!C3</f>
        <v>1321</v>
      </c>
      <c r="E46" s="4">
        <f>'基準価額'!E3</f>
        <v>109450</v>
      </c>
      <c r="F46" s="264">
        <f>'基準価額'!D3</f>
        <v>40254</v>
      </c>
      <c r="G46" s="62">
        <v>10</v>
      </c>
      <c r="H46" s="4">
        <f t="shared" si="3"/>
        <v>10945</v>
      </c>
      <c r="I46" s="4">
        <f>'基準価額'!I3</f>
        <v>0</v>
      </c>
      <c r="J46" s="2">
        <f>IF(F46&gt;=L46,0,'指数取得'!G$30)</f>
        <v>-0.009491121030922893</v>
      </c>
      <c r="K46" s="64">
        <f t="shared" si="2"/>
        <v>10841.11968031655</v>
      </c>
      <c r="L46" s="36">
        <f>'指数取得'!C30</f>
        <v>40255</v>
      </c>
      <c r="M46" s="35">
        <f>'指数取得'!D30</f>
        <v>0.625</v>
      </c>
      <c r="N46" s="21"/>
      <c r="Q46" s="37"/>
      <c r="R46" s="37"/>
    </row>
    <row r="47" spans="2:13" ht="14.25">
      <c r="B47" t="s">
        <v>2027</v>
      </c>
      <c r="C47" t="str">
        <f>'基準価額'!B63</f>
        <v>上場インデックスファンドＴＯＰＩＸ</v>
      </c>
      <c r="D47">
        <f>'基準価額'!C62</f>
        <v>1330</v>
      </c>
      <c r="E47" s="4">
        <f>'基準価額'!E63</f>
        <v>94053</v>
      </c>
      <c r="F47" s="264">
        <f>'基準価額'!D63</f>
        <v>40254</v>
      </c>
      <c r="G47" s="62">
        <v>1</v>
      </c>
      <c r="H47" s="4">
        <f t="shared" si="3"/>
        <v>94053</v>
      </c>
      <c r="I47" s="4">
        <f>'基準価額'!I63</f>
        <v>0</v>
      </c>
      <c r="J47" s="2">
        <f>IF(F47&gt;=L47,0,'指数取得'!G$30)</f>
        <v>-0.009491121030922893</v>
      </c>
      <c r="K47" s="64">
        <f t="shared" si="2"/>
        <v>93160.33159367861</v>
      </c>
      <c r="L47" s="36">
        <f>$L$46</f>
        <v>40255</v>
      </c>
      <c r="M47" s="35">
        <f>$M$46</f>
        <v>0.625</v>
      </c>
    </row>
    <row r="48" spans="2:13" ht="14.25">
      <c r="B48" t="s">
        <v>2027</v>
      </c>
      <c r="C48" t="str">
        <f>'基準価額'!B35</f>
        <v>ダイワ上場投信－日経２２５</v>
      </c>
      <c r="D48">
        <f>'基準価額'!C35</f>
        <v>1320</v>
      </c>
      <c r="E48" s="4">
        <f>'基準価額'!E35</f>
        <v>10900</v>
      </c>
      <c r="F48" s="264">
        <f>'基準価額'!D35</f>
        <v>40254</v>
      </c>
      <c r="G48" s="62">
        <v>1</v>
      </c>
      <c r="H48" s="4">
        <f t="shared" si="3"/>
        <v>10900</v>
      </c>
      <c r="I48" s="4">
        <f>'基準価額'!I35</f>
        <v>0</v>
      </c>
      <c r="J48" s="2">
        <f>IF(F48&gt;=L48,0,'指数取得'!G$30)</f>
        <v>-0.009491121030922893</v>
      </c>
      <c r="K48" s="64">
        <f t="shared" si="2"/>
        <v>10796.546780762941</v>
      </c>
      <c r="L48" s="36">
        <f>$L$46</f>
        <v>40255</v>
      </c>
      <c r="M48" s="35">
        <f>$M$46</f>
        <v>0.625</v>
      </c>
    </row>
    <row r="49" spans="2:13" ht="14.25">
      <c r="B49" t="s">
        <v>2027</v>
      </c>
      <c r="C49" t="str">
        <f>'基準価額'!B77</f>
        <v>ＭＡＸＩＳ 日経２２５上場投信</v>
      </c>
      <c r="D49">
        <f>'基準価額'!C77</f>
        <v>1346</v>
      </c>
      <c r="E49" s="4">
        <f>'基準価額'!E77</f>
        <v>10881</v>
      </c>
      <c r="F49" s="264">
        <f>'基準価額'!D77</f>
        <v>40254</v>
      </c>
      <c r="G49" s="62">
        <v>1</v>
      </c>
      <c r="H49" s="4">
        <f>E49/G49</f>
        <v>10881</v>
      </c>
      <c r="I49" s="4">
        <f>'基準価額'!I77</f>
        <v>0</v>
      </c>
      <c r="J49" s="2">
        <f>IF(F49&gt;=L49,0,'指数取得'!G$30)</f>
        <v>-0.009491121030922893</v>
      </c>
      <c r="K49" s="64">
        <f>H49*(1+J49)-I49</f>
        <v>10777.727112062528</v>
      </c>
      <c r="L49" s="36">
        <f>$L$46</f>
        <v>40255</v>
      </c>
      <c r="M49" s="35">
        <f>$M$46</f>
        <v>0.625</v>
      </c>
    </row>
    <row r="50" spans="2:13" ht="14.25">
      <c r="B50" t="s">
        <v>2027</v>
      </c>
      <c r="C50" t="str">
        <f>'基準価額'!B83</f>
        <v>ｉシェアーズ日経２２５</v>
      </c>
      <c r="D50">
        <f>'基準価額'!C83</f>
        <v>1329</v>
      </c>
      <c r="E50" s="4">
        <f>'基準価額'!E83</f>
        <v>10931</v>
      </c>
      <c r="F50" s="264">
        <f>'基準価額'!D83</f>
        <v>40254</v>
      </c>
      <c r="G50" s="62">
        <v>1</v>
      </c>
      <c r="H50" s="4">
        <f t="shared" si="3"/>
        <v>10931</v>
      </c>
      <c r="I50" s="4">
        <f>'基準価額'!I83</f>
        <v>0</v>
      </c>
      <c r="J50" s="2">
        <f>IF(F50&gt;=L50,0,'指数取得'!G$30)</f>
        <v>-0.009491121030922893</v>
      </c>
      <c r="K50" s="64">
        <f t="shared" si="2"/>
        <v>10827.252556010983</v>
      </c>
      <c r="L50" s="36">
        <f>$L$46</f>
        <v>40255</v>
      </c>
      <c r="M50" s="35">
        <f>$M$46</f>
        <v>0.625</v>
      </c>
    </row>
    <row r="51" spans="2:18" ht="14.25">
      <c r="B51" t="s">
        <v>2035</v>
      </c>
      <c r="C51" s="65" t="str">
        <f>'基準価額'!B27</f>
        <v>日経300株価指数連動型上場投資信託</v>
      </c>
      <c r="D51">
        <f>'基準価額'!C27</f>
        <v>1319</v>
      </c>
      <c r="E51" s="4">
        <f>'基準価額'!E27</f>
        <v>19206</v>
      </c>
      <c r="F51" s="264">
        <f>'基準価額'!D27</f>
        <v>40254</v>
      </c>
      <c r="G51" s="62">
        <v>100</v>
      </c>
      <c r="H51" s="66">
        <f t="shared" si="3"/>
        <v>192.06</v>
      </c>
      <c r="I51" s="4">
        <f>'基準価額'!I27</f>
        <v>0</v>
      </c>
      <c r="J51" s="2">
        <f>IF(F51&gt;=L51,0,'指数取得'!G$31)</f>
        <v>-0.007514121366015442</v>
      </c>
      <c r="K51" s="63">
        <f t="shared" si="2"/>
        <v>190.61683785044306</v>
      </c>
      <c r="L51" s="36">
        <f>'指数取得'!C31</f>
        <v>40255</v>
      </c>
      <c r="M51" s="35">
        <f>'指数取得'!D31</f>
        <v>0.625</v>
      </c>
      <c r="Q51" s="37"/>
      <c r="R51" s="37"/>
    </row>
    <row r="52" spans="2:18" ht="14.25">
      <c r="B52" s="1" t="s">
        <v>2036</v>
      </c>
      <c r="C52" t="str">
        <f>'基準価額'!B5</f>
        <v>TOPIX Core 30連動型上場投資信託</v>
      </c>
      <c r="D52">
        <f>'基準価額'!C5</f>
        <v>1311</v>
      </c>
      <c r="E52" s="4">
        <f>'基準価額'!E5</f>
        <v>54479</v>
      </c>
      <c r="F52" s="264">
        <f>'基準価額'!D5</f>
        <v>40254</v>
      </c>
      <c r="G52" s="62">
        <v>100</v>
      </c>
      <c r="H52" s="66">
        <f t="shared" si="3"/>
        <v>544.79</v>
      </c>
      <c r="I52" s="4">
        <f>'基準価額'!I5</f>
        <v>0</v>
      </c>
      <c r="J52" s="2">
        <f>IF(F52&gt;=L52,0,'指数取得'!G$8)</f>
        <v>-0.007621609504595382</v>
      </c>
      <c r="K52" s="63">
        <f t="shared" si="2"/>
        <v>540.6378233579915</v>
      </c>
      <c r="L52" s="36">
        <f>'指数取得'!C8</f>
        <v>40255</v>
      </c>
      <c r="M52" s="35">
        <f>'指数取得'!D8</f>
        <v>0.625</v>
      </c>
      <c r="Q52" s="37"/>
      <c r="R52" s="37"/>
    </row>
    <row r="53" spans="2:13" ht="14.25">
      <c r="B53" s="1" t="s">
        <v>2036</v>
      </c>
      <c r="C53" s="45" t="str">
        <f>'基準価額'!B36</f>
        <v>ダイワ上場投信－トピックス・コア30</v>
      </c>
      <c r="D53">
        <f>'基準価額'!C36</f>
        <v>1310</v>
      </c>
      <c r="E53" s="4">
        <f>'基準価額'!E36</f>
        <v>53867</v>
      </c>
      <c r="F53" s="264">
        <f>'基準価額'!D36</f>
        <v>40254</v>
      </c>
      <c r="G53" s="62">
        <v>100</v>
      </c>
      <c r="H53" s="66">
        <f t="shared" si="3"/>
        <v>538.67</v>
      </c>
      <c r="I53" s="4">
        <f>'基準価額'!I36</f>
        <v>0</v>
      </c>
      <c r="J53" s="2">
        <f>IF(F53&gt;=L53,0,'指数取得'!G$8)</f>
        <v>-0.007621609504595382</v>
      </c>
      <c r="K53" s="63">
        <f t="shared" si="2"/>
        <v>534.5644676081596</v>
      </c>
      <c r="L53" s="36">
        <f>$L$52</f>
        <v>40255</v>
      </c>
      <c r="M53" s="35">
        <f>$M$52</f>
        <v>0.625</v>
      </c>
    </row>
    <row r="54" spans="2:13" ht="14.25">
      <c r="B54" s="1" t="s">
        <v>2036</v>
      </c>
      <c r="C54" s="45" t="s">
        <v>1957</v>
      </c>
      <c r="D54">
        <v>1344</v>
      </c>
      <c r="E54" s="4">
        <f>'基準価額'!E76</f>
        <v>54044</v>
      </c>
      <c r="F54" s="264">
        <f>'基準価額'!D76</f>
        <v>40254</v>
      </c>
      <c r="G54" s="62">
        <v>100</v>
      </c>
      <c r="H54" s="66">
        <f>E54/G54</f>
        <v>540.44</v>
      </c>
      <c r="I54" s="4">
        <f>'基準価額'!I76/100</f>
        <v>0</v>
      </c>
      <c r="J54" s="2">
        <f>IF(F54&gt;=L54,0,'指数取得'!G$8)</f>
        <v>-0.007621609504595382</v>
      </c>
      <c r="K54" s="63">
        <f t="shared" si="2"/>
        <v>536.3209773593366</v>
      </c>
      <c r="L54" s="36">
        <f>$L$52</f>
        <v>40255</v>
      </c>
      <c r="M54" s="35">
        <f>$M$52</f>
        <v>0.625</v>
      </c>
    </row>
    <row r="55" spans="2:19" ht="14.25">
      <c r="B55" s="1" t="s">
        <v>52</v>
      </c>
      <c r="C55" t="str">
        <f>'基準価額'!B65</f>
        <v>上場インデックスファンドTOPIX100日本大型株</v>
      </c>
      <c r="D55">
        <f>'基準価額'!C65</f>
        <v>1316</v>
      </c>
      <c r="E55" s="4">
        <f>'基準価額'!E66</f>
        <v>96422</v>
      </c>
      <c r="F55" s="264">
        <f>'基準価額'!D66</f>
        <v>40254</v>
      </c>
      <c r="G55" s="62">
        <v>100</v>
      </c>
      <c r="H55" s="66">
        <f t="shared" si="3"/>
        <v>964.22</v>
      </c>
      <c r="I55" s="4">
        <f>'基準価額'!I66</f>
        <v>0</v>
      </c>
      <c r="J55" s="2">
        <f>IF(F55&gt;=L55,0,'指数取得'!G$9)</f>
        <v>-0.0077577734562867245</v>
      </c>
      <c r="K55" s="63">
        <f t="shared" si="2"/>
        <v>956.7397996779792</v>
      </c>
      <c r="L55" s="36">
        <f>'指数取得'!C9</f>
        <v>40255</v>
      </c>
      <c r="M55" s="35">
        <f>'指数取得'!D9</f>
        <v>0.625</v>
      </c>
      <c r="P55" s="34"/>
      <c r="Q55" s="37" t="str">
        <f>HYPERLINK("http://www.nikkoam.com/products/etf/lineup/large/data/view/data?format=xls&amp;id=113166","csv")</f>
        <v>csv</v>
      </c>
      <c r="R55" s="37"/>
      <c r="S55" s="37" t="str">
        <f>HYPERLINK("http://www.nikkoam.com/files/etf/_shared/xls/etf-large_me.xls","xls")</f>
        <v>xls</v>
      </c>
    </row>
    <row r="56" spans="2:19" ht="14.25">
      <c r="B56" s="1" t="s">
        <v>53</v>
      </c>
      <c r="C56" t="str">
        <f>'基準価額'!B66</f>
        <v>上場インデックスファンドTOPIX Mid400日本中型株</v>
      </c>
      <c r="D56">
        <f>'基準価額'!C66</f>
        <v>1317</v>
      </c>
      <c r="E56" s="4">
        <f>'基準価額'!E67</f>
        <v>94485</v>
      </c>
      <c r="F56" s="264">
        <f>'基準価額'!D67</f>
        <v>40254</v>
      </c>
      <c r="G56" s="62">
        <v>100</v>
      </c>
      <c r="H56" s="66">
        <f>E56/G56</f>
        <v>944.85</v>
      </c>
      <c r="I56" s="4">
        <f>'基準価額'!I67</f>
        <v>0</v>
      </c>
      <c r="J56" s="2">
        <f>IF(F56&gt;=L56,0,'指数取得'!G$10)</f>
        <v>-0.0065550685257541805</v>
      </c>
      <c r="K56" s="63">
        <f t="shared" si="2"/>
        <v>938.6564435034412</v>
      </c>
      <c r="L56" s="36">
        <f>'指数取得'!C10</f>
        <v>40255</v>
      </c>
      <c r="M56" s="35">
        <f>'指数取得'!D10</f>
        <v>0.625</v>
      </c>
      <c r="P56" s="34"/>
      <c r="Q56" s="37" t="str">
        <f>HYPERLINK("http://www.nikkoam.com/products/etf/lineup/middle/data/view/data?format=xls&amp;id=113174","csv")</f>
        <v>csv</v>
      </c>
      <c r="R56" s="37"/>
      <c r="S56" s="37" t="str">
        <f>HYPERLINK("http://www.nikkoam.com/files/etf/_shared/xls/etf-middle_me.xls","xls")</f>
        <v>xls</v>
      </c>
    </row>
    <row r="57" spans="2:19" ht="14.25">
      <c r="B57" s="1" t="s">
        <v>54</v>
      </c>
      <c r="C57" t="str">
        <f>'基準価額'!B67</f>
        <v>上場インデックスファンドTOPIX Small日本小型株</v>
      </c>
      <c r="D57">
        <f>'基準価額'!C67</f>
        <v>1318</v>
      </c>
      <c r="E57" s="4">
        <f>'基準価額'!E68</f>
        <v>3826</v>
      </c>
      <c r="F57" s="264">
        <f>'基準価額'!D68</f>
        <v>40254</v>
      </c>
      <c r="G57" s="62">
        <v>100</v>
      </c>
      <c r="H57" s="66">
        <f>E57/G57</f>
        <v>38.26</v>
      </c>
      <c r="I57" s="4">
        <f>'基準価額'!I68</f>
        <v>0</v>
      </c>
      <c r="J57" s="2">
        <f>IF(F57&gt;=L57,0,'指数取得'!G$11)</f>
        <v>-0.003154437506767243</v>
      </c>
      <c r="K57" s="63">
        <f t="shared" si="2"/>
        <v>38.13931122099108</v>
      </c>
      <c r="L57" s="36">
        <f>'指数取得'!C11</f>
        <v>40255</v>
      </c>
      <c r="M57" s="35">
        <f>'指数取得'!D11</f>
        <v>0.625</v>
      </c>
      <c r="P57" s="34"/>
      <c r="Q57" s="37" t="str">
        <f>HYPERLINK("http://www.nikkoam.com/products/etf/lineup/small/data/view/data?format=xls&amp;id=113182","csv")</f>
        <v>csv</v>
      </c>
      <c r="R57" s="37"/>
      <c r="S57" s="37" t="str">
        <f>HYPERLINK("http://www.nikkoam.com/files/etf/_shared/xls/etf-small_me.xls","xls")</f>
        <v>xls</v>
      </c>
    </row>
    <row r="58" spans="2:19" ht="14.25">
      <c r="B58" s="5" t="s">
        <v>23</v>
      </c>
      <c r="C58" t="str">
        <f>'基準価額'!B64</f>
        <v>上場インデックスファンドＳ＆Ｐ日本新興株100</v>
      </c>
      <c r="D58">
        <f>'基準価額'!C64</f>
        <v>1314</v>
      </c>
      <c r="E58" s="4">
        <f>'基準価額'!E65</f>
        <v>68204</v>
      </c>
      <c r="F58" s="264">
        <f>'基準価額'!D65</f>
        <v>40254</v>
      </c>
      <c r="G58" s="62">
        <v>100</v>
      </c>
      <c r="H58" s="66">
        <f t="shared" si="3"/>
        <v>682.04</v>
      </c>
      <c r="I58" s="4">
        <f>'基準価額'!I65</f>
        <v>0</v>
      </c>
      <c r="J58" s="2">
        <f>IF(F58&gt;=L58,0,'指数取得'!$G12)</f>
        <v>0.0014992004264392322</v>
      </c>
      <c r="K58" s="63">
        <f t="shared" si="2"/>
        <v>683.0625146588485</v>
      </c>
      <c r="L58" s="36">
        <f>'指数取得'!C12</f>
        <v>40256</v>
      </c>
      <c r="M58" s="35">
        <f>'指数取得'!D12</f>
        <v>0.6770833333333334</v>
      </c>
      <c r="P58" s="34"/>
      <c r="Q58" s="37" t="str">
        <f>HYPERLINK("http://www.nikkoam.com/products/etf/lineup/sandp/data/view/data?format=xls&amp;id=113140","csv")</f>
        <v>csv</v>
      </c>
      <c r="R58" s="37"/>
      <c r="S58" s="37" t="str">
        <f>HYPERLINK("http://www.nikkoam.com/files/etf/_shared/xls/etf-sandp_me.xls","xls")</f>
        <v>xls</v>
      </c>
    </row>
    <row r="59" spans="2:18" ht="14.25">
      <c r="B59" s="7" t="s">
        <v>22</v>
      </c>
      <c r="C59" s="7" t="str">
        <f>'基準価額'!B8</f>
        <v>ラッセル野村小型コア・インデックス連動型上場投資信託</v>
      </c>
      <c r="D59">
        <f>'基準価額'!C8</f>
        <v>1312</v>
      </c>
      <c r="E59" s="4">
        <f>'基準価額'!E8</f>
        <v>93147</v>
      </c>
      <c r="F59" s="264">
        <f>'基準価額'!D8</f>
        <v>40254</v>
      </c>
      <c r="G59" s="62">
        <v>10</v>
      </c>
      <c r="H59" s="4">
        <f t="shared" si="3"/>
        <v>9314.7</v>
      </c>
      <c r="I59" s="4">
        <f>'基準価額'!I8</f>
        <v>0</v>
      </c>
      <c r="J59" s="2">
        <f>IF(F59&gt;=L59,0,'指数取得'!G$7)</f>
        <v>-0.004342117952876383</v>
      </c>
      <c r="K59" s="64">
        <f t="shared" si="2"/>
        <v>9274.254473904342</v>
      </c>
      <c r="L59" s="36">
        <f>'指数取得'!C7</f>
        <v>40255</v>
      </c>
      <c r="M59" s="174">
        <f>'指数取得'!D7</f>
        <v>0.6458333333357587</v>
      </c>
      <c r="O59" s="2"/>
      <c r="Q59" s="37"/>
      <c r="R59" s="37"/>
    </row>
    <row r="60" spans="2:18" ht="14.25">
      <c r="B60" t="s">
        <v>2028</v>
      </c>
      <c r="C60" t="str">
        <f>'基準価額'!B7</f>
        <v>東証銀行業株価指数連動型上場投資信託</v>
      </c>
      <c r="D60">
        <f>'基準価額'!C7</f>
        <v>1615</v>
      </c>
      <c r="E60" s="4">
        <f>'基準価額'!E7</f>
        <v>14374</v>
      </c>
      <c r="F60" s="264">
        <f>'基準価額'!D7</f>
        <v>40254</v>
      </c>
      <c r="G60" s="62">
        <v>100</v>
      </c>
      <c r="H60" s="66">
        <f t="shared" si="3"/>
        <v>143.74</v>
      </c>
      <c r="I60" s="4">
        <f>'基準価額'!I7</f>
        <v>0</v>
      </c>
      <c r="J60" s="2">
        <f>IF(F60&gt;=L60,0,'指数取得'!G$5)</f>
        <v>-0.008439716312056738</v>
      </c>
      <c r="K60" s="63">
        <f t="shared" si="2"/>
        <v>142.52687517730496</v>
      </c>
      <c r="L60" s="36">
        <f>'指数取得'!C5</f>
        <v>40255</v>
      </c>
      <c r="M60" s="35">
        <f>'指数取得'!D5</f>
        <v>0.625</v>
      </c>
      <c r="Q60" s="37"/>
      <c r="R60" s="37"/>
    </row>
    <row r="61" spans="2:13" ht="14.25">
      <c r="B61" t="s">
        <v>2028</v>
      </c>
      <c r="C61" s="7" t="str">
        <f>'基準価額'!B38</f>
        <v>ダイワ上場投信－東証銀行業株価指数</v>
      </c>
      <c r="D61">
        <f>'基準価額'!C38</f>
        <v>1612</v>
      </c>
      <c r="E61" s="4">
        <f>'基準価額'!E38</f>
        <v>13650</v>
      </c>
      <c r="F61" s="264">
        <f>'基準価額'!D38</f>
        <v>40254</v>
      </c>
      <c r="G61" s="62">
        <v>100</v>
      </c>
      <c r="H61" s="66">
        <f t="shared" si="3"/>
        <v>136.5</v>
      </c>
      <c r="I61" s="4">
        <f>'基準価額'!I38</f>
        <v>0</v>
      </c>
      <c r="J61" s="2">
        <f>IF(F61&gt;=L61,0,'指数取得'!G$5)</f>
        <v>-0.008439716312056738</v>
      </c>
      <c r="K61" s="63">
        <f t="shared" si="2"/>
        <v>135.34797872340425</v>
      </c>
      <c r="L61" s="36">
        <f>$L$60</f>
        <v>40255</v>
      </c>
      <c r="M61" s="35">
        <f>$M$60</f>
        <v>0.625</v>
      </c>
    </row>
    <row r="62" spans="2:18" ht="14.25">
      <c r="B62" t="s">
        <v>2038</v>
      </c>
      <c r="C62" t="str">
        <f>'基準価額'!B6</f>
        <v>東証電気機器株価指数連動型上場投資信託</v>
      </c>
      <c r="D62">
        <f>'基準価額'!C6</f>
        <v>1613</v>
      </c>
      <c r="E62" s="4">
        <f>'基準価額'!E6</f>
        <v>138125</v>
      </c>
      <c r="F62" s="264">
        <f>'基準価額'!D6</f>
        <v>40254</v>
      </c>
      <c r="G62" s="62">
        <v>100</v>
      </c>
      <c r="H62" s="66">
        <f t="shared" si="3"/>
        <v>1381.25</v>
      </c>
      <c r="I62" s="4">
        <f>'基準価額'!I6</f>
        <v>0</v>
      </c>
      <c r="J62" s="2">
        <f>IF(F62&gt;=L62,0,'指数取得'!G$6)</f>
        <v>-0.011173986729095453</v>
      </c>
      <c r="K62" s="63">
        <f t="shared" si="2"/>
        <v>1365.8159308304369</v>
      </c>
      <c r="L62" s="36">
        <f>'指数取得'!C6</f>
        <v>40255</v>
      </c>
      <c r="M62" s="35">
        <f>'指数取得'!D6</f>
        <v>0.625</v>
      </c>
      <c r="Q62" s="37"/>
      <c r="R62" s="37"/>
    </row>
    <row r="63" spans="2:13" ht="14.25">
      <c r="B63" t="s">
        <v>2038</v>
      </c>
      <c r="C63" s="7" t="str">
        <f>'基準価額'!B37</f>
        <v>ダイワ上場投信－東証電気機器株価指数</v>
      </c>
      <c r="D63">
        <f>'基準価額'!C37</f>
        <v>1610</v>
      </c>
      <c r="E63" s="4">
        <f>'基準価額'!E37</f>
        <v>140284</v>
      </c>
      <c r="F63" s="264">
        <f>'基準価額'!D37</f>
        <v>40254</v>
      </c>
      <c r="G63" s="62">
        <v>100</v>
      </c>
      <c r="H63" s="66">
        <f t="shared" si="3"/>
        <v>1402.84</v>
      </c>
      <c r="I63" s="4">
        <f>'基準価額'!I37</f>
        <v>0</v>
      </c>
      <c r="J63" s="2">
        <f>IF(F63&gt;=L63,0,'指数取得'!G$6)</f>
        <v>-0.011173986729095453</v>
      </c>
      <c r="K63" s="63">
        <f t="shared" si="2"/>
        <v>1387.1646844569557</v>
      </c>
      <c r="L63" s="36">
        <f>$L$62</f>
        <v>40255</v>
      </c>
      <c r="M63" s="35">
        <f>$M$62</f>
        <v>0.625</v>
      </c>
    </row>
    <row r="64" spans="2:18" ht="14.25">
      <c r="B64" s="76" t="s">
        <v>1010</v>
      </c>
      <c r="C64" s="7" t="s">
        <v>1011</v>
      </c>
      <c r="D64">
        <v>1343</v>
      </c>
      <c r="E64" s="4">
        <f>'基準価額'!E26</f>
        <v>96587</v>
      </c>
      <c r="F64" s="264">
        <f>'基準価額'!D26</f>
        <v>40254</v>
      </c>
      <c r="G64" s="62">
        <v>100</v>
      </c>
      <c r="H64" s="66">
        <f t="shared" si="3"/>
        <v>965.87</v>
      </c>
      <c r="I64" s="4">
        <f>'基準価額'!I26</f>
        <v>0</v>
      </c>
      <c r="J64" s="2">
        <f>IF(F64&gt;=L64,0,'指数取得'!G$4)</f>
        <v>-4.294702484485388E-05</v>
      </c>
      <c r="K64" s="63">
        <f t="shared" si="2"/>
        <v>965.8285187571131</v>
      </c>
      <c r="L64" s="36">
        <f>'指数取得'!C4</f>
        <v>40255</v>
      </c>
      <c r="M64" s="35">
        <f>'指数取得'!D4</f>
        <v>0.625</v>
      </c>
      <c r="O64" s="2"/>
      <c r="Q64" s="37"/>
      <c r="R64" s="37"/>
    </row>
    <row r="65" spans="2:19" ht="14.25">
      <c r="B65" s="76" t="s">
        <v>1010</v>
      </c>
      <c r="C65" s="7" t="s">
        <v>1099</v>
      </c>
      <c r="D65">
        <v>1345</v>
      </c>
      <c r="E65" s="4">
        <f>'基準価額'!E70</f>
        <v>346876</v>
      </c>
      <c r="F65" s="264">
        <f>'基準価額'!D70</f>
        <v>40254</v>
      </c>
      <c r="G65" s="62">
        <v>100</v>
      </c>
      <c r="H65" s="66">
        <f t="shared" si="3"/>
        <v>3468.76</v>
      </c>
      <c r="I65" s="4">
        <f>'基準価額'!I70</f>
        <v>0</v>
      </c>
      <c r="J65" s="2">
        <f>IF(F65&gt;=L65,0,'指数取得'!G$4)</f>
        <v>-4.294702484485388E-05</v>
      </c>
      <c r="K65" s="63">
        <f t="shared" si="2"/>
        <v>3468.611027078099</v>
      </c>
      <c r="L65" s="36">
        <f>L64</f>
        <v>40255</v>
      </c>
      <c r="M65" s="35">
        <f>M64</f>
        <v>0.625</v>
      </c>
      <c r="O65" s="2"/>
      <c r="Q65" s="37" t="str">
        <f>HYPERLINK("http://www.nikkoam.com/products/etf/lineup/jreit/data/view/data?format=xls&amp;id=113450","csv")</f>
        <v>csv</v>
      </c>
      <c r="R65" s="37"/>
      <c r="S65" s="37" t="str">
        <f>HYPERLINK("http://www.nikkoam.com/files/etf/_shared/xls/etf-jreit_me.xls","xls")</f>
        <v>xls</v>
      </c>
    </row>
    <row r="66" spans="2:18" ht="14.25">
      <c r="B66" s="8" t="s">
        <v>2042</v>
      </c>
      <c r="C66" s="6" t="str">
        <f>'基準価額'!B9</f>
        <v>NEXT FUNDS 食品(TOPIX-17)上場投信</v>
      </c>
      <c r="D66">
        <f>'基準価額'!C9</f>
        <v>1617</v>
      </c>
      <c r="E66" s="4">
        <f>'基準価額'!E9</f>
        <v>145936</v>
      </c>
      <c r="F66" s="264">
        <f>'基準価額'!D9</f>
        <v>40254</v>
      </c>
      <c r="G66" s="62">
        <v>10</v>
      </c>
      <c r="H66" s="4">
        <f t="shared" si="3"/>
        <v>14593.6</v>
      </c>
      <c r="I66" s="4">
        <f>'基準価額'!I9</f>
        <v>0</v>
      </c>
      <c r="J66" s="2">
        <f>IF(F66&gt;=L66,0,'指数取得'!G13)</f>
        <v>0.0011758196154378199</v>
      </c>
      <c r="K66" s="64">
        <f t="shared" si="2"/>
        <v>14610.759441139855</v>
      </c>
      <c r="L66" s="36">
        <f>'指数取得'!C13</f>
        <v>40255</v>
      </c>
      <c r="M66" s="35">
        <f>'指数取得'!D13</f>
        <v>0.625</v>
      </c>
      <c r="Q66" s="37"/>
      <c r="R66" s="37"/>
    </row>
    <row r="67" spans="2:18" ht="14.25">
      <c r="B67" s="8" t="s">
        <v>2043</v>
      </c>
      <c r="C67" s="6" t="str">
        <f>'基準価額'!B10</f>
        <v>NEXT FUNDS エネルギー資源(TOPIX-17)上場投信</v>
      </c>
      <c r="D67">
        <f>'基準価額'!C10</f>
        <v>1618</v>
      </c>
      <c r="E67" s="4">
        <f>'基準価額'!E10</f>
        <v>120786</v>
      </c>
      <c r="F67" s="264">
        <f>'基準価額'!D10</f>
        <v>40254</v>
      </c>
      <c r="G67" s="62">
        <v>10</v>
      </c>
      <c r="H67" s="4">
        <f t="shared" si="3"/>
        <v>12078.6</v>
      </c>
      <c r="I67" s="4">
        <f>'基準価額'!I10</f>
        <v>0</v>
      </c>
      <c r="J67" s="2">
        <f>IF(F67&gt;=L67,0,'指数取得'!G14)</f>
        <v>0.0007460212201591511</v>
      </c>
      <c r="K67" s="64">
        <f t="shared" si="2"/>
        <v>12087.610891909813</v>
      </c>
      <c r="L67" s="36">
        <f>'指数取得'!C14</f>
        <v>40255</v>
      </c>
      <c r="M67" s="35">
        <f>'指数取得'!D14</f>
        <v>0.625</v>
      </c>
      <c r="Q67" s="37"/>
      <c r="R67" s="37"/>
    </row>
    <row r="68" spans="2:18" ht="14.25">
      <c r="B68" s="8" t="s">
        <v>2044</v>
      </c>
      <c r="C68" s="6" t="str">
        <f>'基準価額'!B11</f>
        <v>NEXT FUNDS 建設・資材(TOPIX-17)上場投信</v>
      </c>
      <c r="D68">
        <f>'基準価額'!C11</f>
        <v>1619</v>
      </c>
      <c r="E68" s="4">
        <f>'基準価額'!E11</f>
        <v>125560</v>
      </c>
      <c r="F68" s="264">
        <f>'基準価額'!D11</f>
        <v>40254</v>
      </c>
      <c r="G68" s="62">
        <v>10</v>
      </c>
      <c r="H68" s="4">
        <f t="shared" si="3"/>
        <v>12556</v>
      </c>
      <c r="I68" s="4">
        <f>'基準価額'!I11</f>
        <v>0</v>
      </c>
      <c r="J68" s="2">
        <f>IF(F68&gt;=L68,0,'指数取得'!G15)</f>
        <v>-0.00812811846129084</v>
      </c>
      <c r="K68" s="64">
        <f t="shared" si="2"/>
        <v>12453.943344600033</v>
      </c>
      <c r="L68" s="36">
        <f>'指数取得'!C15</f>
        <v>40255</v>
      </c>
      <c r="M68" s="35">
        <f>'指数取得'!D15</f>
        <v>0.625</v>
      </c>
      <c r="Q68" s="37"/>
      <c r="R68" s="37"/>
    </row>
    <row r="69" spans="2:18" ht="14.25">
      <c r="B69" s="8" t="s">
        <v>2045</v>
      </c>
      <c r="C69" s="6" t="str">
        <f>'基準価額'!B12</f>
        <v>NEXT FUNDS 素材・化学(TOPIX-17)上場投信</v>
      </c>
      <c r="D69">
        <f>'基準価額'!C12</f>
        <v>1620</v>
      </c>
      <c r="E69" s="4">
        <f>'基準価額'!E12</f>
        <v>112788</v>
      </c>
      <c r="F69" s="264">
        <f>'基準価額'!D12</f>
        <v>40254</v>
      </c>
      <c r="G69" s="62">
        <v>10</v>
      </c>
      <c r="H69" s="4">
        <f t="shared" si="3"/>
        <v>11278.8</v>
      </c>
      <c r="I69" s="4">
        <f>'基準価額'!I12</f>
        <v>0</v>
      </c>
      <c r="J69" s="2">
        <f>IF(F69&gt;=L69,0,'指数取得'!G16)</f>
        <v>-0.008824270947138415</v>
      </c>
      <c r="K69" s="64">
        <f t="shared" si="2"/>
        <v>11179.272812841415</v>
      </c>
      <c r="L69" s="36">
        <f>'指数取得'!C16</f>
        <v>40255</v>
      </c>
      <c r="M69" s="35">
        <f>'指数取得'!D16</f>
        <v>0.625</v>
      </c>
      <c r="Q69" s="37"/>
      <c r="R69" s="37"/>
    </row>
    <row r="70" spans="2:18" ht="14.25">
      <c r="B70" s="8" t="s">
        <v>2046</v>
      </c>
      <c r="C70" s="6" t="str">
        <f>'基準価額'!B13</f>
        <v>NEXT FUNDS医薬品(TOPIX-17)上場投信</v>
      </c>
      <c r="D70">
        <f>'基準価額'!C13</f>
        <v>1621</v>
      </c>
      <c r="E70" s="4">
        <f>'基準価額'!E13</f>
        <v>110835</v>
      </c>
      <c r="F70" s="264">
        <f>'基準価額'!D13</f>
        <v>40254</v>
      </c>
      <c r="G70" s="62">
        <v>10</v>
      </c>
      <c r="H70" s="4">
        <f t="shared" si="3"/>
        <v>11083.5</v>
      </c>
      <c r="I70" s="4">
        <f>'基準価額'!I13</f>
        <v>0</v>
      </c>
      <c r="J70" s="2">
        <f>IF(F70&gt;=L70,0,'指数取得'!G17)</f>
        <v>0.006374722838137471</v>
      </c>
      <c r="K70" s="64">
        <f t="shared" si="2"/>
        <v>11154.154240576496</v>
      </c>
      <c r="L70" s="36">
        <f>'指数取得'!C17</f>
        <v>40255</v>
      </c>
      <c r="M70" s="35">
        <f>'指数取得'!D17</f>
        <v>0.625</v>
      </c>
      <c r="Q70" s="37"/>
      <c r="R70" s="37"/>
    </row>
    <row r="71" spans="2:18" ht="14.25">
      <c r="B71" s="8" t="s">
        <v>2062</v>
      </c>
      <c r="C71" s="6" t="str">
        <f>'基準価額'!B14</f>
        <v>NEXT FUNDS 自動車・輸送機(TOPIX-17)上場投信</v>
      </c>
      <c r="D71">
        <f>'基準価額'!C14</f>
        <v>1622</v>
      </c>
      <c r="E71" s="4">
        <f>'基準価額'!E14</f>
        <v>124677</v>
      </c>
      <c r="F71" s="264">
        <f>'基準価額'!D14</f>
        <v>40254</v>
      </c>
      <c r="G71" s="62">
        <v>10</v>
      </c>
      <c r="H71" s="4">
        <f t="shared" si="3"/>
        <v>12467.7</v>
      </c>
      <c r="I71" s="4">
        <f>'基準価額'!I14</f>
        <v>0</v>
      </c>
      <c r="J71" s="2">
        <f>IF(F71&gt;=L71,0,'指数取得'!G18)</f>
        <v>-0.013353961403794478</v>
      </c>
      <c r="K71" s="64">
        <f t="shared" si="2"/>
        <v>12301.206815405912</v>
      </c>
      <c r="L71" s="36">
        <f>'指数取得'!C18</f>
        <v>40255</v>
      </c>
      <c r="M71" s="35">
        <f>'指数取得'!D18</f>
        <v>0.625</v>
      </c>
      <c r="Q71" s="37"/>
      <c r="R71" s="37"/>
    </row>
    <row r="72" spans="2:18" ht="14.25">
      <c r="B72" s="8" t="s">
        <v>2063</v>
      </c>
      <c r="C72" s="6" t="str">
        <f>'基準価額'!B15</f>
        <v>NEXT FUNDS 鉄鋼・非鉄(TOPIX-17)上場投信</v>
      </c>
      <c r="D72">
        <f>'基準価額'!C15</f>
        <v>1623</v>
      </c>
      <c r="E72" s="4">
        <f>'基準価額'!E15</f>
        <v>223860</v>
      </c>
      <c r="F72" s="264">
        <f>'基準価額'!D15</f>
        <v>40254</v>
      </c>
      <c r="G72" s="62">
        <v>10</v>
      </c>
      <c r="H72" s="4">
        <f t="shared" si="3"/>
        <v>22386</v>
      </c>
      <c r="I72" s="4">
        <f>'基準価額'!I15</f>
        <v>0</v>
      </c>
      <c r="J72" s="2">
        <f>IF(F72&gt;=L72,0,'指数取得'!G19)</f>
        <v>-0.001965559970943896</v>
      </c>
      <c r="K72" s="64">
        <f t="shared" si="2"/>
        <v>22341.99897449045</v>
      </c>
      <c r="L72" s="36">
        <f>'指数取得'!C19</f>
        <v>40255</v>
      </c>
      <c r="M72" s="35">
        <f>'指数取得'!D19</f>
        <v>0.625</v>
      </c>
      <c r="Q72" s="37"/>
      <c r="R72" s="37"/>
    </row>
    <row r="73" spans="2:18" ht="14.25">
      <c r="B73" s="8" t="s">
        <v>2064</v>
      </c>
      <c r="C73" s="6" t="str">
        <f>'基準価額'!B16</f>
        <v>NEXT FUNDS 機械(TOPIX-17)上場投信</v>
      </c>
      <c r="D73">
        <f>'基準価額'!C16</f>
        <v>1624</v>
      </c>
      <c r="E73" s="4">
        <f>'基準価額'!E16</f>
        <v>171456</v>
      </c>
      <c r="F73" s="264">
        <f>'基準価額'!D16</f>
        <v>40254</v>
      </c>
      <c r="G73" s="62">
        <v>10</v>
      </c>
      <c r="H73" s="4">
        <f t="shared" si="3"/>
        <v>17145.6</v>
      </c>
      <c r="I73" s="4">
        <f>'基準価額'!I16</f>
        <v>0</v>
      </c>
      <c r="J73" s="2">
        <f>IF(F73&gt;=L73,0,'指数取得'!G20)</f>
        <v>-0.010027700831024932</v>
      </c>
      <c r="K73" s="64">
        <f t="shared" si="2"/>
        <v>16973.66905263158</v>
      </c>
      <c r="L73" s="36">
        <f>'指数取得'!C20</f>
        <v>40255</v>
      </c>
      <c r="M73" s="35">
        <f>'指数取得'!D20</f>
        <v>0.625</v>
      </c>
      <c r="Q73" s="37"/>
      <c r="R73" s="37"/>
    </row>
    <row r="74" spans="2:18" ht="14.25">
      <c r="B74" s="8" t="s">
        <v>2065</v>
      </c>
      <c r="C74" s="6" t="str">
        <f>'基準価額'!B17</f>
        <v>NEXT FUNDS 電機・精密(TOPIX-17)上場投信</v>
      </c>
      <c r="D74">
        <f>'基準価額'!C17</f>
        <v>1625</v>
      </c>
      <c r="E74" s="4">
        <f>'基準価額'!E17</f>
        <v>109871</v>
      </c>
      <c r="F74" s="264">
        <f>'基準価額'!D17</f>
        <v>40254</v>
      </c>
      <c r="G74" s="62">
        <v>10</v>
      </c>
      <c r="H74" s="4">
        <f t="shared" si="3"/>
        <v>10987.1</v>
      </c>
      <c r="I74" s="4">
        <f>'基準価額'!I17</f>
        <v>0</v>
      </c>
      <c r="J74" s="2">
        <f>IF(F74&gt;=L74,0,'指数取得'!G21)</f>
        <v>-0.012169457406899077</v>
      </c>
      <c r="K74" s="64">
        <f t="shared" si="2"/>
        <v>10853.39295452466</v>
      </c>
      <c r="L74" s="36">
        <f>'指数取得'!C21</f>
        <v>40255</v>
      </c>
      <c r="M74" s="35">
        <f>'指数取得'!D21</f>
        <v>0.625</v>
      </c>
      <c r="Q74" s="37"/>
      <c r="R74" s="37"/>
    </row>
    <row r="75" spans="2:18" ht="14.25">
      <c r="B75" s="8" t="s">
        <v>2066</v>
      </c>
      <c r="C75" s="6" t="str">
        <f>'基準価額'!B18</f>
        <v>NEXT FUNDS 情報通信・サービスその他(TOPIX-17)上場投信</v>
      </c>
      <c r="D75">
        <f>'基準価額'!C18</f>
        <v>1626</v>
      </c>
      <c r="E75" s="4">
        <f>'基準価額'!E18</f>
        <v>90349</v>
      </c>
      <c r="F75" s="264">
        <f>'基準価額'!D18</f>
        <v>40254</v>
      </c>
      <c r="G75" s="62">
        <v>10</v>
      </c>
      <c r="H75" s="4">
        <f t="shared" si="3"/>
        <v>9034.9</v>
      </c>
      <c r="I75" s="4">
        <f>'基準価額'!I18</f>
        <v>0</v>
      </c>
      <c r="J75" s="2">
        <f>IF(F75&gt;=L75,0,'指数取得'!G22)</f>
        <v>-0.003027924189749916</v>
      </c>
      <c r="K75" s="64">
        <f t="shared" si="2"/>
        <v>9007.543007738028</v>
      </c>
      <c r="L75" s="36">
        <f>'指数取得'!C22</f>
        <v>40255</v>
      </c>
      <c r="M75" s="35">
        <f>'指数取得'!D22</f>
        <v>0.625</v>
      </c>
      <c r="Q75" s="37"/>
      <c r="R75" s="37"/>
    </row>
    <row r="76" spans="2:18" ht="14.25">
      <c r="B76" s="8" t="s">
        <v>2067</v>
      </c>
      <c r="C76" s="6" t="str">
        <f>'基準価額'!B19</f>
        <v>NEXT FUNDS 電力・ガス(TOPIX-17)上場投信</v>
      </c>
      <c r="D76">
        <f>'基準価額'!C19</f>
        <v>1627</v>
      </c>
      <c r="E76" s="4">
        <f>'基準価額'!E19</f>
        <v>116561</v>
      </c>
      <c r="F76" s="264">
        <f>'基準価額'!D19</f>
        <v>40254</v>
      </c>
      <c r="G76" s="62">
        <v>10</v>
      </c>
      <c r="H76" s="4">
        <f t="shared" si="3"/>
        <v>11656.1</v>
      </c>
      <c r="I76" s="4">
        <f>'基準価額'!I19</f>
        <v>0</v>
      </c>
      <c r="J76" s="2">
        <f>IF(F76&gt;=L76,0,'指数取得'!G23)</f>
        <v>0.0020836950859524223</v>
      </c>
      <c r="K76" s="64">
        <f t="shared" si="2"/>
        <v>11680.38775829137</v>
      </c>
      <c r="L76" s="36">
        <f>'指数取得'!C23</f>
        <v>40255</v>
      </c>
      <c r="M76" s="35">
        <f>'指数取得'!D23</f>
        <v>0.625</v>
      </c>
      <c r="Q76" s="37"/>
      <c r="R76" s="37"/>
    </row>
    <row r="77" spans="2:18" ht="14.25">
      <c r="B77" s="8" t="s">
        <v>2068</v>
      </c>
      <c r="C77" s="6" t="str">
        <f>'基準価額'!B20</f>
        <v>NEXT FUNDS 運輸・物流(TOPIX-17)上場投信</v>
      </c>
      <c r="D77">
        <f>'基準価額'!C20</f>
        <v>1628</v>
      </c>
      <c r="E77" s="4">
        <f>'基準価額'!E20</f>
        <v>103718</v>
      </c>
      <c r="F77" s="264">
        <f>'基準価額'!D20</f>
        <v>40254</v>
      </c>
      <c r="G77" s="62">
        <v>10</v>
      </c>
      <c r="H77" s="4">
        <f t="shared" si="3"/>
        <v>10371.8</v>
      </c>
      <c r="I77" s="4">
        <f>'基準価額'!I20</f>
        <v>0</v>
      </c>
      <c r="J77" s="2">
        <f>IF(F77&gt;=L77,0,'指数取得'!G24)</f>
        <v>-0.006828602087601209</v>
      </c>
      <c r="K77" s="64">
        <f aca="true" t="shared" si="4" ref="K77:K100">H77*(1+J77)-I77</f>
        <v>10300.975104867817</v>
      </c>
      <c r="L77" s="36">
        <f>'指数取得'!C24</f>
        <v>40255</v>
      </c>
      <c r="M77" s="35">
        <f>'指数取得'!D24</f>
        <v>0.625</v>
      </c>
      <c r="Q77" s="37"/>
      <c r="R77" s="37"/>
    </row>
    <row r="78" spans="2:18" ht="14.25">
      <c r="B78" s="8" t="s">
        <v>2073</v>
      </c>
      <c r="C78" s="6" t="str">
        <f>'基準価額'!B21</f>
        <v>NEXT FUNDS 商社・卸売(TOPIX-17)上場投信</v>
      </c>
      <c r="D78">
        <f>'基準価額'!C21</f>
        <v>1629</v>
      </c>
      <c r="E78" s="4">
        <f>'基準価額'!E21</f>
        <v>194485</v>
      </c>
      <c r="F78" s="264">
        <f>'基準価額'!D21</f>
        <v>40254</v>
      </c>
      <c r="G78" s="62">
        <v>10</v>
      </c>
      <c r="H78" s="4">
        <f t="shared" si="3"/>
        <v>19448.5</v>
      </c>
      <c r="I78" s="4">
        <f>'基準価額'!I21</f>
        <v>0</v>
      </c>
      <c r="J78" s="2">
        <f>IF(F78&gt;=L78,0,'指数取得'!G25)</f>
        <v>-0.0003711608054189477</v>
      </c>
      <c r="K78" s="64">
        <f t="shared" si="4"/>
        <v>19441.28147907581</v>
      </c>
      <c r="L78" s="36">
        <f>'指数取得'!C25</f>
        <v>40255</v>
      </c>
      <c r="M78" s="35">
        <f>'指数取得'!D25</f>
        <v>0.625</v>
      </c>
      <c r="Q78" s="37"/>
      <c r="R78" s="37"/>
    </row>
    <row r="79" spans="2:18" ht="14.25">
      <c r="B79" s="8" t="s">
        <v>2074</v>
      </c>
      <c r="C79" s="6" t="str">
        <f>'基準価額'!B22</f>
        <v>NEXT FUNDS 小売(TOPIX-17)上場投信</v>
      </c>
      <c r="D79">
        <f>'基準価額'!C22</f>
        <v>1630</v>
      </c>
      <c r="E79" s="4">
        <f>'基準価額'!E22</f>
        <v>93315</v>
      </c>
      <c r="F79" s="264">
        <f>'基準価額'!D22</f>
        <v>40254</v>
      </c>
      <c r="G79" s="62">
        <v>10</v>
      </c>
      <c r="H79" s="4">
        <f t="shared" si="3"/>
        <v>9331.5</v>
      </c>
      <c r="I79" s="4">
        <f>'基準価額'!I22</f>
        <v>0</v>
      </c>
      <c r="J79" s="2">
        <f>IF(F79&gt;=L79,0,'指数取得'!G26)</f>
        <v>-0.0026044492674986435</v>
      </c>
      <c r="K79" s="64">
        <f t="shared" si="4"/>
        <v>9307.196581660335</v>
      </c>
      <c r="L79" s="36">
        <f>'指数取得'!C26</f>
        <v>40255</v>
      </c>
      <c r="M79" s="35">
        <f>'指数取得'!D26</f>
        <v>0.625</v>
      </c>
      <c r="Q79" s="37"/>
      <c r="R79" s="37"/>
    </row>
    <row r="80" spans="2:18" ht="14.25">
      <c r="B80" s="8" t="s">
        <v>2075</v>
      </c>
      <c r="C80" s="6" t="str">
        <f>'基準価額'!B23</f>
        <v>NEXT FUNDS 銀行(TOPIX-17)上場投信</v>
      </c>
      <c r="D80">
        <f>'基準価額'!C23</f>
        <v>1631</v>
      </c>
      <c r="E80" s="4">
        <f>'基準価額'!E23</f>
        <v>84964</v>
      </c>
      <c r="F80" s="264">
        <f>'基準価額'!D23</f>
        <v>40254</v>
      </c>
      <c r="G80" s="62">
        <v>10</v>
      </c>
      <c r="H80" s="4">
        <f t="shared" si="3"/>
        <v>8496.4</v>
      </c>
      <c r="I80" s="4">
        <f>'基準価額'!I23</f>
        <v>0</v>
      </c>
      <c r="J80" s="2">
        <f>IF(F80&gt;=L80,0,'指数取得'!G27)</f>
        <v>-0.008439716312056738</v>
      </c>
      <c r="K80" s="64">
        <f t="shared" si="4"/>
        <v>8424.69279432624</v>
      </c>
      <c r="L80" s="36">
        <f>'指数取得'!C27</f>
        <v>40255</v>
      </c>
      <c r="M80" s="35">
        <f>'指数取得'!D27</f>
        <v>0.625</v>
      </c>
      <c r="Q80" s="37"/>
      <c r="R80" s="37"/>
    </row>
    <row r="81" spans="2:18" ht="14.25">
      <c r="B81" s="8" t="s">
        <v>0</v>
      </c>
      <c r="C81" s="6" t="str">
        <f>'基準価額'!B24</f>
        <v>NEXT FUNDS 金融(除く銀行)(TOPIX-17)上場投信</v>
      </c>
      <c r="D81">
        <f>'基準価額'!C24</f>
        <v>1632</v>
      </c>
      <c r="E81" s="4">
        <f>'基準価額'!E24</f>
        <v>87101</v>
      </c>
      <c r="F81" s="264">
        <f>'基準価額'!D24</f>
        <v>40254</v>
      </c>
      <c r="G81" s="62">
        <v>10</v>
      </c>
      <c r="H81" s="4">
        <f t="shared" si="3"/>
        <v>8710.1</v>
      </c>
      <c r="I81" s="4">
        <f>'基準価額'!I24</f>
        <v>0</v>
      </c>
      <c r="J81" s="2">
        <f>IF(F81&gt;=L81,0,'指数取得'!G28)</f>
        <v>-0.00800371186637281</v>
      </c>
      <c r="K81" s="64">
        <f t="shared" si="4"/>
        <v>8640.386869272706</v>
      </c>
      <c r="L81" s="36">
        <f>'指数取得'!C28</f>
        <v>40255</v>
      </c>
      <c r="M81" s="35">
        <f>'指数取得'!D28</f>
        <v>0.625</v>
      </c>
      <c r="Q81" s="37"/>
      <c r="R81" s="37"/>
    </row>
    <row r="82" spans="2:18" ht="14.25">
      <c r="B82" s="8" t="s">
        <v>21</v>
      </c>
      <c r="C82" s="6" t="str">
        <f>'基準価額'!B25</f>
        <v>NEXT FUNDS 不動産(TOPIX-17)上場投信</v>
      </c>
      <c r="D82">
        <f>'基準価額'!C25</f>
        <v>1633</v>
      </c>
      <c r="E82" s="4">
        <f>'基準価額'!E25</f>
        <v>169255</v>
      </c>
      <c r="F82" s="264">
        <f>'基準価額'!D25</f>
        <v>40254</v>
      </c>
      <c r="G82" s="62">
        <v>10</v>
      </c>
      <c r="H82" s="4">
        <f t="shared" si="3"/>
        <v>16925.5</v>
      </c>
      <c r="I82" s="4">
        <f>'基準価額'!I25</f>
        <v>0</v>
      </c>
      <c r="J82" s="2">
        <f>IF(F82&gt;=L82,0,'指数取得'!G29)</f>
        <v>-0.02592971682019788</v>
      </c>
      <c r="K82" s="64">
        <f t="shared" si="4"/>
        <v>16486.62657795974</v>
      </c>
      <c r="L82" s="36">
        <f>'指数取得'!C29</f>
        <v>40255</v>
      </c>
      <c r="M82" s="35">
        <f>'指数取得'!D29</f>
        <v>0.625</v>
      </c>
      <c r="Q82" s="37"/>
      <c r="R82" s="37"/>
    </row>
    <row r="83" spans="2:13" ht="14.25">
      <c r="B83" s="8" t="s">
        <v>2042</v>
      </c>
      <c r="C83" s="69" t="str">
        <f>'基準価額'!B39</f>
        <v>ダイワ上場投信・TOPIX-17 食品</v>
      </c>
      <c r="D83">
        <f>'基準価額'!C39</f>
        <v>1634</v>
      </c>
      <c r="E83" s="4">
        <f>'基準価額'!E39</f>
        <v>14510</v>
      </c>
      <c r="F83" s="264">
        <f>'基準価額'!D39</f>
        <v>40254</v>
      </c>
      <c r="G83" s="70">
        <v>1</v>
      </c>
      <c r="H83" s="4">
        <f t="shared" si="3"/>
        <v>14510</v>
      </c>
      <c r="I83" s="4">
        <f>'基準価額'!I39</f>
        <v>0</v>
      </c>
      <c r="J83" s="2">
        <f>IF(F83&gt;=L83,0,'指数取得'!G13)</f>
        <v>0.0011758196154378199</v>
      </c>
      <c r="K83" s="64">
        <f t="shared" si="4"/>
        <v>14527.061142620003</v>
      </c>
      <c r="L83" s="3">
        <f>'指数取得'!C13</f>
        <v>40255</v>
      </c>
      <c r="M83" s="21">
        <f>'指数取得'!D13</f>
        <v>0.625</v>
      </c>
    </row>
    <row r="84" spans="2:13" ht="14.25">
      <c r="B84" s="8" t="s">
        <v>2043</v>
      </c>
      <c r="C84" s="69" t="str">
        <f>'基準価額'!B40</f>
        <v>ダイワ上場投信・TOPIX-17 エネルギー資源</v>
      </c>
      <c r="D84">
        <f>'基準価額'!C40</f>
        <v>1635</v>
      </c>
      <c r="E84" s="4">
        <f>'基準価額'!E40</f>
        <v>12063</v>
      </c>
      <c r="F84" s="264">
        <f>'基準価額'!D40</f>
        <v>40254</v>
      </c>
      <c r="G84" s="70">
        <v>1</v>
      </c>
      <c r="H84" s="4">
        <f t="shared" si="3"/>
        <v>12063</v>
      </c>
      <c r="I84" s="4">
        <f>'基準価額'!I40</f>
        <v>0</v>
      </c>
      <c r="J84" s="2">
        <f>IF(F84&gt;=L84,0,'指数取得'!G14)</f>
        <v>0.0007460212201591511</v>
      </c>
      <c r="K84" s="64">
        <f t="shared" si="4"/>
        <v>12071.99925397878</v>
      </c>
      <c r="L84" s="3">
        <f>'指数取得'!C14</f>
        <v>40255</v>
      </c>
      <c r="M84" s="21">
        <f>'指数取得'!D14</f>
        <v>0.625</v>
      </c>
    </row>
    <row r="85" spans="2:13" ht="14.25">
      <c r="B85" s="8" t="s">
        <v>2044</v>
      </c>
      <c r="C85" s="69" t="str">
        <f>'基準価額'!B41</f>
        <v>ダイワ上場投信・TOPIX-17 建設・資材</v>
      </c>
      <c r="D85">
        <f>'基準価額'!C41</f>
        <v>1636</v>
      </c>
      <c r="E85" s="4">
        <f>'基準価額'!E41</f>
        <v>12414</v>
      </c>
      <c r="F85" s="264">
        <f>'基準価額'!D41</f>
        <v>40254</v>
      </c>
      <c r="G85" s="70">
        <v>1</v>
      </c>
      <c r="H85" s="4">
        <f t="shared" si="3"/>
        <v>12414</v>
      </c>
      <c r="I85" s="4">
        <f>'基準価額'!I41</f>
        <v>0</v>
      </c>
      <c r="J85" s="2">
        <f>IF(F85&gt;=L85,0,'指数取得'!G15)</f>
        <v>-0.00812811846129084</v>
      </c>
      <c r="K85" s="64">
        <f t="shared" si="4"/>
        <v>12313.097537421536</v>
      </c>
      <c r="L85" s="3">
        <f>'指数取得'!C15</f>
        <v>40255</v>
      </c>
      <c r="M85" s="21">
        <f>'指数取得'!D15</f>
        <v>0.625</v>
      </c>
    </row>
    <row r="86" spans="2:13" ht="14.25">
      <c r="B86" s="8" t="s">
        <v>2045</v>
      </c>
      <c r="C86" s="69" t="str">
        <f>'基準価額'!B42</f>
        <v>ダイワ上場投信・TOPIX-17 素材・化学</v>
      </c>
      <c r="D86">
        <f>'基準価額'!C42</f>
        <v>1637</v>
      </c>
      <c r="E86" s="4">
        <f>'基準価額'!E42</f>
        <v>11904</v>
      </c>
      <c r="F86" s="264">
        <f>'基準価額'!D42</f>
        <v>40254</v>
      </c>
      <c r="G86" s="70">
        <v>1</v>
      </c>
      <c r="H86" s="4">
        <f t="shared" si="3"/>
        <v>11904</v>
      </c>
      <c r="I86" s="4">
        <f>'基準価額'!I42</f>
        <v>0</v>
      </c>
      <c r="J86" s="2">
        <f>IF(F86&gt;=L86,0,'指数取得'!G16)</f>
        <v>-0.008824270947138415</v>
      </c>
      <c r="K86" s="64">
        <f t="shared" si="4"/>
        <v>11798.955878645264</v>
      </c>
      <c r="L86" s="3">
        <f>'指数取得'!C16</f>
        <v>40255</v>
      </c>
      <c r="M86" s="21">
        <f>'指数取得'!D16</f>
        <v>0.625</v>
      </c>
    </row>
    <row r="87" spans="2:13" ht="14.25">
      <c r="B87" s="8" t="s">
        <v>2046</v>
      </c>
      <c r="C87" s="69" t="str">
        <f>'基準価額'!B43</f>
        <v>ダイワ上場投信・TOPIX-17 医薬品</v>
      </c>
      <c r="D87">
        <f>'基準価額'!C43</f>
        <v>1638</v>
      </c>
      <c r="E87" s="4">
        <f>'基準価額'!E43</f>
        <v>10822</v>
      </c>
      <c r="F87" s="264">
        <f>'基準価額'!D43</f>
        <v>40254</v>
      </c>
      <c r="G87" s="70">
        <v>1</v>
      </c>
      <c r="H87" s="4">
        <f t="shared" si="3"/>
        <v>10822</v>
      </c>
      <c r="I87" s="4">
        <f>'基準価額'!I43</f>
        <v>0</v>
      </c>
      <c r="J87" s="2">
        <f>IF(F87&gt;=L87,0,'指数取得'!G17)</f>
        <v>0.006374722838137471</v>
      </c>
      <c r="K87" s="64">
        <f t="shared" si="4"/>
        <v>10890.987250554323</v>
      </c>
      <c r="L87" s="3">
        <f>'指数取得'!C17</f>
        <v>40255</v>
      </c>
      <c r="M87" s="21">
        <f>'指数取得'!D17</f>
        <v>0.625</v>
      </c>
    </row>
    <row r="88" spans="2:13" ht="14.25">
      <c r="B88" s="8" t="s">
        <v>2062</v>
      </c>
      <c r="C88" s="69" t="str">
        <f>'基準価額'!B44</f>
        <v>ダイワ上場投信・TOPIX-17 自動車・輸送機</v>
      </c>
      <c r="D88">
        <f>'基準価額'!C44</f>
        <v>1639</v>
      </c>
      <c r="E88" s="4">
        <f>'基準価額'!E44</f>
        <v>12283</v>
      </c>
      <c r="F88" s="264">
        <f>'基準価額'!D44</f>
        <v>40254</v>
      </c>
      <c r="G88" s="70">
        <v>1</v>
      </c>
      <c r="H88" s="4">
        <f t="shared" si="3"/>
        <v>12283</v>
      </c>
      <c r="I88" s="4">
        <f>'基準価額'!I44</f>
        <v>0</v>
      </c>
      <c r="J88" s="2">
        <f>IF(F88&gt;=L88,0,'指数取得'!G18)</f>
        <v>-0.013353961403794478</v>
      </c>
      <c r="K88" s="64">
        <f t="shared" si="4"/>
        <v>12118.973292077191</v>
      </c>
      <c r="L88" s="3">
        <f>'指数取得'!C18</f>
        <v>40255</v>
      </c>
      <c r="M88" s="21">
        <f>'指数取得'!D18</f>
        <v>0.625</v>
      </c>
    </row>
    <row r="89" spans="2:13" ht="14.25">
      <c r="B89" s="8" t="s">
        <v>2063</v>
      </c>
      <c r="C89" s="69" t="str">
        <f>'基準価額'!B45</f>
        <v>ダイワ上場投信・TOPIX-17 鉄鋼・非鉄</v>
      </c>
      <c r="D89">
        <f>'基準価額'!C45</f>
        <v>1640</v>
      </c>
      <c r="E89" s="4">
        <f>'基準価額'!E45</f>
        <v>23334</v>
      </c>
      <c r="F89" s="264">
        <f>'基準価額'!D45</f>
        <v>40254</v>
      </c>
      <c r="G89" s="70">
        <v>1</v>
      </c>
      <c r="H89" s="4">
        <f t="shared" si="3"/>
        <v>23334</v>
      </c>
      <c r="I89" s="4">
        <f>'基準価額'!I45</f>
        <v>0</v>
      </c>
      <c r="J89" s="2">
        <f>IF(F89&gt;=L89,0,'指数取得'!G19)</f>
        <v>-0.001965559970943896</v>
      </c>
      <c r="K89" s="64">
        <f t="shared" si="4"/>
        <v>23288.135623637994</v>
      </c>
      <c r="L89" s="3">
        <f>'指数取得'!C19</f>
        <v>40255</v>
      </c>
      <c r="M89" s="21">
        <f>'指数取得'!D19</f>
        <v>0.625</v>
      </c>
    </row>
    <row r="90" spans="2:13" ht="14.25">
      <c r="B90" s="8" t="s">
        <v>2064</v>
      </c>
      <c r="C90" s="69" t="str">
        <f>'基準価額'!B46</f>
        <v>ダイワ上場投信・TOPIX-17 機械</v>
      </c>
      <c r="D90">
        <f>'基準価額'!C46</f>
        <v>1641</v>
      </c>
      <c r="E90" s="4">
        <f>'基準価額'!E46</f>
        <v>17996</v>
      </c>
      <c r="F90" s="264">
        <f>'基準価額'!D46</f>
        <v>40254</v>
      </c>
      <c r="G90" s="70">
        <v>1</v>
      </c>
      <c r="H90" s="4">
        <f t="shared" si="3"/>
        <v>17996</v>
      </c>
      <c r="I90" s="4">
        <f>'基準価額'!I46</f>
        <v>0</v>
      </c>
      <c r="J90" s="2">
        <f>IF(F90&gt;=L90,0,'指数取得'!G20)</f>
        <v>-0.010027700831024932</v>
      </c>
      <c r="K90" s="64">
        <f t="shared" si="4"/>
        <v>17815.541495844875</v>
      </c>
      <c r="L90" s="3">
        <f>'指数取得'!C20</f>
        <v>40255</v>
      </c>
      <c r="M90" s="21">
        <f>'指数取得'!D20</f>
        <v>0.625</v>
      </c>
    </row>
    <row r="91" spans="2:13" ht="14.25">
      <c r="B91" s="8" t="s">
        <v>2065</v>
      </c>
      <c r="C91" s="69" t="str">
        <f>'基準価額'!B47</f>
        <v>ダイワ上場投信・TOPIX-17 電機・精密</v>
      </c>
      <c r="D91">
        <f>'基準価額'!C47</f>
        <v>1642</v>
      </c>
      <c r="E91" s="4">
        <f>'基準価額'!E47</f>
        <v>10939</v>
      </c>
      <c r="F91" s="264">
        <f>'基準価額'!D47</f>
        <v>40254</v>
      </c>
      <c r="G91" s="70">
        <v>1</v>
      </c>
      <c r="H91" s="4">
        <f t="shared" si="3"/>
        <v>10939</v>
      </c>
      <c r="I91" s="4">
        <f>'基準価額'!I47</f>
        <v>0</v>
      </c>
      <c r="J91" s="2">
        <f>IF(F91&gt;=L91,0,'指数取得'!G21)</f>
        <v>-0.012169457406899077</v>
      </c>
      <c r="K91" s="64">
        <f t="shared" si="4"/>
        <v>10805.878305425931</v>
      </c>
      <c r="L91" s="3">
        <f>'指数取得'!C21</f>
        <v>40255</v>
      </c>
      <c r="M91" s="21">
        <f>'指数取得'!D21</f>
        <v>0.625</v>
      </c>
    </row>
    <row r="92" spans="2:13" ht="14.25">
      <c r="B92" s="8" t="s">
        <v>2066</v>
      </c>
      <c r="C92" s="69" t="str">
        <f>'基準価額'!B48</f>
        <v>ダイワ上場投信・TOPIX-17 情報通信・サービスその他</v>
      </c>
      <c r="D92">
        <f>'基準価額'!C48</f>
        <v>1643</v>
      </c>
      <c r="E92" s="4">
        <f>'基準価額'!E48</f>
        <v>8930</v>
      </c>
      <c r="F92" s="264">
        <f>'基準価額'!D48</f>
        <v>40254</v>
      </c>
      <c r="G92" s="70">
        <v>1</v>
      </c>
      <c r="H92" s="4">
        <f t="shared" si="3"/>
        <v>8930</v>
      </c>
      <c r="I92" s="4">
        <f>'基準価額'!I48</f>
        <v>0</v>
      </c>
      <c r="J92" s="2">
        <f>IF(F92&gt;=L92,0,'指数取得'!G22)</f>
        <v>-0.003027924189749916</v>
      </c>
      <c r="K92" s="64">
        <f t="shared" si="4"/>
        <v>8902.960636985534</v>
      </c>
      <c r="L92" s="3">
        <f>'指数取得'!C22</f>
        <v>40255</v>
      </c>
      <c r="M92" s="21">
        <f>'指数取得'!D22</f>
        <v>0.625</v>
      </c>
    </row>
    <row r="93" spans="2:13" ht="14.25">
      <c r="B93" s="8" t="s">
        <v>2067</v>
      </c>
      <c r="C93" s="69" t="str">
        <f>'基準価額'!B49</f>
        <v>ダイワ上場投信・TOPIX-17 電力・ガス</v>
      </c>
      <c r="D93">
        <f>'基準価額'!C49</f>
        <v>1644</v>
      </c>
      <c r="E93" s="4">
        <f>'基準価額'!E49</f>
        <v>11514</v>
      </c>
      <c r="F93" s="264">
        <f>'基準価額'!D49</f>
        <v>40254</v>
      </c>
      <c r="G93" s="70">
        <v>1</v>
      </c>
      <c r="H93" s="4">
        <f t="shared" si="3"/>
        <v>11514</v>
      </c>
      <c r="I93" s="4">
        <f>'基準価額'!I49</f>
        <v>0</v>
      </c>
      <c r="J93" s="2">
        <f>IF(F93&gt;=L93,0,'指数取得'!G23)</f>
        <v>0.0020836950859524223</v>
      </c>
      <c r="K93" s="64">
        <f t="shared" si="4"/>
        <v>11537.991665219655</v>
      </c>
      <c r="L93" s="3">
        <f>'指数取得'!C23</f>
        <v>40255</v>
      </c>
      <c r="M93" s="21">
        <f>'指数取得'!D23</f>
        <v>0.625</v>
      </c>
    </row>
    <row r="94" spans="2:13" ht="14.25">
      <c r="B94" s="8" t="s">
        <v>2068</v>
      </c>
      <c r="C94" s="69" t="str">
        <f>'基準価額'!B50</f>
        <v>ダイワ上場投信・TOPIX-17 運輸・物流</v>
      </c>
      <c r="D94">
        <f>'基準価額'!C50</f>
        <v>1645</v>
      </c>
      <c r="E94" s="4">
        <f>'基準価額'!E50</f>
        <v>10250</v>
      </c>
      <c r="F94" s="264">
        <f>'基準価額'!D50</f>
        <v>40254</v>
      </c>
      <c r="G94" s="70">
        <v>1</v>
      </c>
      <c r="H94" s="4">
        <f t="shared" si="3"/>
        <v>10250</v>
      </c>
      <c r="I94" s="4">
        <f>'基準価額'!I50</f>
        <v>0</v>
      </c>
      <c r="J94" s="2">
        <f>IF(F94&gt;=L94,0,'指数取得'!G24)</f>
        <v>-0.006828602087601209</v>
      </c>
      <c r="K94" s="64">
        <f t="shared" si="4"/>
        <v>10180.006828602089</v>
      </c>
      <c r="L94" s="3">
        <f>'指数取得'!C24</f>
        <v>40255</v>
      </c>
      <c r="M94" s="21">
        <f>'指数取得'!D24</f>
        <v>0.625</v>
      </c>
    </row>
    <row r="95" spans="2:13" ht="14.25">
      <c r="B95" s="8" t="s">
        <v>2073</v>
      </c>
      <c r="C95" s="69" t="str">
        <f>'基準価額'!B51</f>
        <v>ダイワ上場投信・TOPIX-17 商社・卸売</v>
      </c>
      <c r="D95">
        <f>'基準価額'!C51</f>
        <v>1646</v>
      </c>
      <c r="E95" s="4">
        <f>'基準価額'!E51</f>
        <v>21515</v>
      </c>
      <c r="F95" s="264">
        <f>'基準価額'!D51</f>
        <v>40254</v>
      </c>
      <c r="G95" s="70">
        <v>1</v>
      </c>
      <c r="H95" s="4">
        <f t="shared" si="3"/>
        <v>21515</v>
      </c>
      <c r="I95" s="4">
        <f>'基準価額'!I51</f>
        <v>0</v>
      </c>
      <c r="J95" s="2">
        <f>IF(F95&gt;=L95,0,'指数取得'!G25)</f>
        <v>-0.0003711608054189477</v>
      </c>
      <c r="K95" s="64">
        <f t="shared" si="4"/>
        <v>21507.01447527141</v>
      </c>
      <c r="L95" s="3">
        <f>'指数取得'!C25</f>
        <v>40255</v>
      </c>
      <c r="M95" s="21">
        <f>'指数取得'!D25</f>
        <v>0.625</v>
      </c>
    </row>
    <row r="96" spans="2:13" ht="14.25">
      <c r="B96" s="8" t="s">
        <v>2074</v>
      </c>
      <c r="C96" s="69" t="str">
        <f>'基準価額'!B52</f>
        <v>ダイワ上場投信・TOPIX-17 小売</v>
      </c>
      <c r="D96">
        <f>'基準価額'!C52</f>
        <v>1647</v>
      </c>
      <c r="E96" s="4">
        <f>'基準価額'!E52</f>
        <v>9267</v>
      </c>
      <c r="F96" s="264">
        <f>'基準価額'!D52</f>
        <v>40254</v>
      </c>
      <c r="G96" s="70">
        <v>1</v>
      </c>
      <c r="H96" s="4">
        <f t="shared" si="3"/>
        <v>9267</v>
      </c>
      <c r="I96" s="4">
        <f>'基準価額'!I52</f>
        <v>0</v>
      </c>
      <c r="J96" s="2">
        <f>IF(F96&gt;=L96,0,'指数取得'!G26)</f>
        <v>-0.0026044492674986435</v>
      </c>
      <c r="K96" s="64">
        <f t="shared" si="4"/>
        <v>9242.86456863809</v>
      </c>
      <c r="L96" s="3">
        <f>'指数取得'!C26</f>
        <v>40255</v>
      </c>
      <c r="M96" s="21">
        <f>'指数取得'!D26</f>
        <v>0.625</v>
      </c>
    </row>
    <row r="97" spans="2:13" ht="14.25">
      <c r="B97" s="8" t="s">
        <v>2075</v>
      </c>
      <c r="C97" s="69" t="str">
        <f>'基準価額'!B53</f>
        <v>ダイワ上場投信・TOPIX-17 銀行</v>
      </c>
      <c r="D97">
        <f>'基準価額'!C53</f>
        <v>1648</v>
      </c>
      <c r="E97" s="4">
        <f>'基準価額'!E53</f>
        <v>9052</v>
      </c>
      <c r="F97" s="264">
        <f>'基準価額'!D53</f>
        <v>40254</v>
      </c>
      <c r="G97" s="70">
        <v>1</v>
      </c>
      <c r="H97" s="4">
        <f t="shared" si="3"/>
        <v>9052</v>
      </c>
      <c r="I97" s="4">
        <f>'基準価額'!I53</f>
        <v>0</v>
      </c>
      <c r="J97" s="2">
        <f>IF(F97&gt;=L97,0,'指数取得'!G27)</f>
        <v>-0.008439716312056738</v>
      </c>
      <c r="K97" s="64">
        <f t="shared" si="4"/>
        <v>8975.603687943263</v>
      </c>
      <c r="L97" s="3">
        <f>'指数取得'!C27</f>
        <v>40255</v>
      </c>
      <c r="M97" s="21">
        <f>'指数取得'!D27</f>
        <v>0.625</v>
      </c>
    </row>
    <row r="98" spans="2:13" ht="14.25">
      <c r="B98" s="8" t="s">
        <v>0</v>
      </c>
      <c r="C98" s="69" t="str">
        <f>'基準価額'!B54</f>
        <v>ダイワ上場投信・TOPIX-17 金融（除く銀行）</v>
      </c>
      <c r="D98">
        <f>'基準価額'!C54</f>
        <v>1649</v>
      </c>
      <c r="E98" s="4">
        <f>'基準価額'!E54</f>
        <v>8607</v>
      </c>
      <c r="F98" s="264">
        <f>'基準価額'!D54</f>
        <v>40254</v>
      </c>
      <c r="G98" s="70">
        <v>1</v>
      </c>
      <c r="H98" s="4">
        <f t="shared" si="3"/>
        <v>8607</v>
      </c>
      <c r="I98" s="4">
        <f>'基準価額'!I54</f>
        <v>0</v>
      </c>
      <c r="J98" s="2">
        <f>IF(F98&gt;=L98,0,'指数取得'!G28)</f>
        <v>-0.00800371186637281</v>
      </c>
      <c r="K98" s="64">
        <f t="shared" si="4"/>
        <v>8538.112051966129</v>
      </c>
      <c r="L98" s="3">
        <f>'指数取得'!C28</f>
        <v>40255</v>
      </c>
      <c r="M98" s="21">
        <f>'指数取得'!D28</f>
        <v>0.625</v>
      </c>
    </row>
    <row r="99" spans="2:13" ht="14.25">
      <c r="B99" s="8" t="s">
        <v>21</v>
      </c>
      <c r="C99" s="69" t="str">
        <f>'基準価額'!B55</f>
        <v>ダイワ上場投信・TOPIX-17 不動産</v>
      </c>
      <c r="D99">
        <f>'基準価額'!C55</f>
        <v>1650</v>
      </c>
      <c r="E99" s="4">
        <f>'基準価額'!E55</f>
        <v>17586</v>
      </c>
      <c r="F99" s="264">
        <f>'基準価額'!D55</f>
        <v>40254</v>
      </c>
      <c r="G99" s="70">
        <v>1</v>
      </c>
      <c r="H99" s="4">
        <f t="shared" si="3"/>
        <v>17586</v>
      </c>
      <c r="I99" s="4">
        <f>'基準価額'!I55</f>
        <v>0</v>
      </c>
      <c r="J99" s="2">
        <f>IF(F99&gt;=L99,0,'指数取得'!G29)</f>
        <v>-0.02592971682019788</v>
      </c>
      <c r="K99" s="64">
        <f t="shared" si="4"/>
        <v>17130</v>
      </c>
      <c r="L99" s="3">
        <f>'指数取得'!C29</f>
        <v>40255</v>
      </c>
      <c r="M99" s="21">
        <f>'指数取得'!D29</f>
        <v>0.625</v>
      </c>
    </row>
    <row r="100" spans="2:13" ht="14.25">
      <c r="B100" s="8" t="s">
        <v>1622</v>
      </c>
      <c r="C100" s="69" t="s">
        <v>1639</v>
      </c>
      <c r="D100">
        <f>'基準価額'!C79</f>
        <v>1670</v>
      </c>
      <c r="E100" s="4">
        <f>'基準価額'!E79</f>
        <v>10768</v>
      </c>
      <c r="F100" s="264">
        <f>'基準価額'!D79</f>
        <v>40254</v>
      </c>
      <c r="G100" s="70">
        <v>100</v>
      </c>
      <c r="H100" s="4">
        <f t="shared" si="3"/>
        <v>107.68</v>
      </c>
      <c r="I100" s="4">
        <f>'基準価額'!I79</f>
        <v>0</v>
      </c>
      <c r="J100" s="2">
        <f>IF(F100&gt;=L100,0,'指数取得'!G33)</f>
        <v>-0.013419841136880524</v>
      </c>
      <c r="K100" s="63">
        <f t="shared" si="4"/>
        <v>106.23495150638071</v>
      </c>
      <c r="L100" s="3">
        <f>'指数取得'!C33</f>
        <v>40255</v>
      </c>
      <c r="M100" s="21">
        <f>'指数取得'!D33</f>
        <v>0.6458333333357587</v>
      </c>
    </row>
    <row r="101" spans="2:13" ht="14.25">
      <c r="B101" s="8" t="s">
        <v>1624</v>
      </c>
      <c r="C101" s="69" t="s">
        <v>1623</v>
      </c>
      <c r="D101">
        <f>'基準価額'!C70</f>
        <v>1347</v>
      </c>
      <c r="E101" s="4">
        <f>'基準価額'!E70</f>
        <v>346876</v>
      </c>
      <c r="F101" s="264">
        <f>'基準価額'!D70</f>
        <v>40254</v>
      </c>
      <c r="G101" s="70">
        <v>100</v>
      </c>
      <c r="H101" s="4">
        <f>E101/G101</f>
        <v>3468.76</v>
      </c>
      <c r="I101" s="4">
        <f>'基準価額'!I70</f>
        <v>0</v>
      </c>
      <c r="J101" s="2">
        <f>IF(F101&gt;=L101,0,'指数取得'!G32)</f>
        <v>-0.008134110122085626</v>
      </c>
      <c r="K101" s="63">
        <f>H101*(1+J101)-I101</f>
        <v>3440.5447241729144</v>
      </c>
      <c r="L101" s="3">
        <f>'指数取得'!C32</f>
        <v>40255</v>
      </c>
      <c r="M101" s="21">
        <f>'指数取得'!D32</f>
        <v>0.6458333333357587</v>
      </c>
    </row>
    <row r="102" spans="2:19" ht="14.25">
      <c r="B102" s="241" t="s">
        <v>1628</v>
      </c>
      <c r="C102" s="69" t="s">
        <v>1629</v>
      </c>
      <c r="D102">
        <v>1349</v>
      </c>
      <c r="E102" s="4">
        <f>'基準価額'!E118</f>
        <v>10423</v>
      </c>
      <c r="F102" s="264">
        <f>'基準価額'!D118</f>
        <v>40248</v>
      </c>
      <c r="G102" s="70">
        <v>1</v>
      </c>
      <c r="H102" s="4">
        <f aca="true" t="shared" si="5" ref="H102:H110">E102/G102</f>
        <v>10423</v>
      </c>
      <c r="I102" s="4">
        <f>'基準価額'!I118</f>
        <v>0</v>
      </c>
      <c r="J102" s="51"/>
      <c r="K102" s="63">
        <f>'指数取得'!E59*'指数取得'!E105</f>
        <v>10545.743250000001</v>
      </c>
      <c r="L102" s="3">
        <f>'指数取得'!C59</f>
        <v>40256</v>
      </c>
      <c r="M102" s="176">
        <f>'指数取得'!D59+1/24</f>
        <v>0.7506944444444443</v>
      </c>
      <c r="Q102" s="37"/>
      <c r="R102" s="37"/>
      <c r="S102" s="37"/>
    </row>
    <row r="103" spans="2:13" ht="14.25">
      <c r="B103" s="241" t="s">
        <v>1579</v>
      </c>
      <c r="C103" s="69" t="s">
        <v>1580</v>
      </c>
      <c r="D103">
        <v>1671</v>
      </c>
      <c r="E103" s="4">
        <f>'基準価額'!E122</f>
        <v>6257</v>
      </c>
      <c r="F103" s="264">
        <f>'基準価額'!D122</f>
        <v>40254</v>
      </c>
      <c r="G103" s="70">
        <v>1</v>
      </c>
      <c r="H103" s="4">
        <f t="shared" si="5"/>
        <v>6257</v>
      </c>
      <c r="I103" s="4">
        <f>'基準価額'!I122</f>
        <v>0</v>
      </c>
      <c r="J103" s="51"/>
      <c r="K103" s="151">
        <f>'指数取得'!$E$77*'指数取得'!$E$105*(1+'基準価額'!$F$122)-I103</f>
        <v>6235.8740022599995</v>
      </c>
      <c r="L103" s="3">
        <f>'指数取得'!C77</f>
        <v>40256</v>
      </c>
      <c r="M103" s="175">
        <f>'指数取得'!D77</f>
        <v>0.030555555555555555</v>
      </c>
    </row>
    <row r="104" spans="2:13" ht="14.25">
      <c r="B104" s="241" t="s">
        <v>2034</v>
      </c>
      <c r="C104" t="s">
        <v>1573</v>
      </c>
      <c r="D104">
        <v>1672</v>
      </c>
      <c r="E104" s="4">
        <f>'基準価額'!F126</f>
        <v>10030.95</v>
      </c>
      <c r="F104" s="264">
        <f>'基準価額'!D126</f>
        <v>40254</v>
      </c>
      <c r="G104" s="70">
        <v>1</v>
      </c>
      <c r="H104" s="4">
        <f t="shared" si="5"/>
        <v>10030.95</v>
      </c>
      <c r="I104" s="222"/>
      <c r="J104" s="51"/>
      <c r="K104" s="63">
        <f>'指数取得'!$E37*'指数取得'!$E$105*'基準価額'!E126</f>
        <v>10046.2906768266</v>
      </c>
      <c r="L104" s="3">
        <f>'指数取得'!C37</f>
        <v>40255</v>
      </c>
      <c r="M104" s="21">
        <f>'指数取得'!D37+14/24</f>
        <v>1.0861111111111112</v>
      </c>
    </row>
    <row r="105" spans="2:13" ht="14.25">
      <c r="B105" s="241" t="s">
        <v>1558</v>
      </c>
      <c r="C105" t="s">
        <v>1578</v>
      </c>
      <c r="D105">
        <v>1673</v>
      </c>
      <c r="E105" s="4">
        <f>'基準価額'!F127</f>
        <v>1563.91</v>
      </c>
      <c r="F105" s="264">
        <f>'基準価額'!D127</f>
        <v>40254</v>
      </c>
      <c r="G105" s="70">
        <v>1</v>
      </c>
      <c r="H105" s="4">
        <f t="shared" si="5"/>
        <v>1563.91</v>
      </c>
      <c r="I105" s="223"/>
      <c r="J105" s="51"/>
      <c r="K105" s="63">
        <f>'指数取得'!$E38*'指数取得'!$E$105*'基準価額'!E127</f>
        <v>1551.7205653698002</v>
      </c>
      <c r="L105" s="3">
        <f>'指数取得'!C38</f>
        <v>40255</v>
      </c>
      <c r="M105" s="21">
        <f>'指数取得'!D38+14/24</f>
        <v>1.0861111111111112</v>
      </c>
    </row>
    <row r="106" spans="2:13" ht="14.25">
      <c r="B106" s="241" t="s">
        <v>1559</v>
      </c>
      <c r="C106" t="s">
        <v>1577</v>
      </c>
      <c r="D106">
        <v>1674</v>
      </c>
      <c r="E106" s="4">
        <f>'基準価額'!F128</f>
        <v>14587.01</v>
      </c>
      <c r="F106" s="264">
        <f>'基準価額'!D128</f>
        <v>40254</v>
      </c>
      <c r="G106" s="70">
        <v>1</v>
      </c>
      <c r="H106" s="4">
        <f t="shared" si="5"/>
        <v>14587.01</v>
      </c>
      <c r="I106" s="223"/>
      <c r="J106" s="51"/>
      <c r="K106" s="63">
        <f>'指数取得'!$E39*'指数取得'!$E$105*'基準価額'!E128</f>
        <v>14527.88352414</v>
      </c>
      <c r="L106" s="3">
        <f>'指数取得'!C39</f>
        <v>40255</v>
      </c>
      <c r="M106" s="21">
        <f>'指数取得'!D39+14/24</f>
        <v>1.0861111111111112</v>
      </c>
    </row>
    <row r="107" spans="2:13" ht="14.25">
      <c r="B107" s="241" t="s">
        <v>1560</v>
      </c>
      <c r="C107" t="s">
        <v>1576</v>
      </c>
      <c r="D107">
        <v>1675</v>
      </c>
      <c r="E107" s="4">
        <f>'基準価額'!F129</f>
        <v>4244.14</v>
      </c>
      <c r="F107" s="264">
        <f>'基準価額'!D129</f>
        <v>40254</v>
      </c>
      <c r="G107" s="70">
        <v>1</v>
      </c>
      <c r="H107" s="4">
        <f t="shared" si="5"/>
        <v>4244.14</v>
      </c>
      <c r="I107" s="223"/>
      <c r="J107" s="51"/>
      <c r="K107" s="63">
        <f>'指数取得'!$E40*'指数取得'!$E$105*'基準価額'!E129</f>
        <v>4246.954907517</v>
      </c>
      <c r="L107" s="3">
        <f>'指数取得'!C40</f>
        <v>40255</v>
      </c>
      <c r="M107" s="21">
        <f>'指数取得'!D40+14/24</f>
        <v>1.0847222222222221</v>
      </c>
    </row>
    <row r="108" spans="2:13" ht="14.25">
      <c r="B108" s="242" t="s">
        <v>1557</v>
      </c>
      <c r="C108" t="s">
        <v>1574</v>
      </c>
      <c r="D108">
        <v>1676</v>
      </c>
      <c r="E108" s="4">
        <f>E104*0.4+E105*1.2+E107*0.2+E106*0.1</f>
        <v>8196.601</v>
      </c>
      <c r="F108" s="264">
        <f>F104</f>
        <v>40254</v>
      </c>
      <c r="G108" s="70">
        <v>1</v>
      </c>
      <c r="H108" s="4">
        <f t="shared" si="5"/>
        <v>8196.601</v>
      </c>
      <c r="I108" s="223"/>
      <c r="J108" s="51"/>
      <c r="K108" s="63">
        <f>SUMPRODUCT('基準価額'!I126:I129,K104:K107)</f>
        <v>8182.7602830918</v>
      </c>
      <c r="L108" s="3">
        <f>MAX(L104:L107)</f>
        <v>40255</v>
      </c>
      <c r="M108" s="21">
        <f>MAX(M104:M107)</f>
        <v>1.0861111111111112</v>
      </c>
    </row>
    <row r="109" spans="2:13" ht="14.25">
      <c r="B109" s="76" t="s">
        <v>780</v>
      </c>
      <c r="C109" s="7" t="s">
        <v>2069</v>
      </c>
      <c r="D109">
        <v>1677</v>
      </c>
      <c r="E109" s="4">
        <f>'基準価額'!E71</f>
        <v>48662</v>
      </c>
      <c r="F109" s="264">
        <f>'基準価額'!D62</f>
        <v>40254</v>
      </c>
      <c r="G109" s="62">
        <v>1</v>
      </c>
      <c r="H109" s="66">
        <f>E109/G109</f>
        <v>48662</v>
      </c>
      <c r="I109" s="4">
        <f>'基準価額'!I62</f>
        <v>0</v>
      </c>
      <c r="J109" s="2">
        <f>IF(F109&gt;=L109,0,'指数取得'!G60)</f>
        <v>0.00022127565414615255</v>
      </c>
      <c r="K109" s="63">
        <f>H109*(1+J109)-I109</f>
        <v>48672.767715882066</v>
      </c>
      <c r="L109" s="36">
        <f>'指数取得'!C105</f>
        <v>40256</v>
      </c>
      <c r="M109" s="176">
        <f>'指数取得'!C105</f>
        <v>40256</v>
      </c>
    </row>
    <row r="110" spans="2:15" ht="14.25">
      <c r="B110" s="241" t="s">
        <v>1366</v>
      </c>
      <c r="C110" s="6" t="s">
        <v>1935</v>
      </c>
      <c r="D110">
        <v>1678</v>
      </c>
      <c r="E110" s="4">
        <f>'基準価額'!E99</f>
        <v>9937</v>
      </c>
      <c r="F110" s="264">
        <f>'基準価額'!D99</f>
        <v>40249</v>
      </c>
      <c r="G110" s="70">
        <v>100</v>
      </c>
      <c r="H110" s="4">
        <f t="shared" si="5"/>
        <v>99.37</v>
      </c>
      <c r="I110" s="4">
        <f>'基準価額'!I99</f>
        <v>0</v>
      </c>
      <c r="J110" s="2"/>
      <c r="K110" s="63">
        <f>'指数取得'!E61*'指数取得'!E102*(1+'リアルタイムNAV一覧'!O110)/100-I110</f>
        <v>101.62438803396773</v>
      </c>
      <c r="L110" s="3">
        <f>'指数取得'!C61</f>
        <v>40256</v>
      </c>
      <c r="M110" s="176">
        <f>'指数取得'!D61</f>
        <v>0.8319444444444444</v>
      </c>
      <c r="N110" s="168">
        <f>'基準価額'!F99</f>
        <v>10202.63</v>
      </c>
      <c r="O110" s="77">
        <f>(H110*100-N110)/N110</f>
        <v>-0.026035443802235228</v>
      </c>
    </row>
    <row r="111" spans="2:15" ht="14.25">
      <c r="B111" s="241" t="s">
        <v>1367</v>
      </c>
      <c r="C111" s="6" t="s">
        <v>1025</v>
      </c>
      <c r="D111">
        <v>1679</v>
      </c>
      <c r="E111" s="4">
        <f>'基準価額'!E123</f>
        <v>9384</v>
      </c>
      <c r="F111" s="264">
        <f>'基準価額'!D100</f>
        <v>40254</v>
      </c>
      <c r="G111" s="70">
        <v>1</v>
      </c>
      <c r="H111" s="4">
        <f>E111/G111</f>
        <v>9384</v>
      </c>
      <c r="I111" s="4">
        <f>'基準価額'!I100</f>
        <v>0</v>
      </c>
      <c r="J111" s="2">
        <f>'指数取得'!F64/('指数取得'!E64-'指数取得'!F64+'基準価額'!H175)</f>
        <v>0.0011253320656454753</v>
      </c>
      <c r="K111" s="64">
        <f>'指数取得'!E62*'指数取得'!E105*(1+'基準価額'!F123)/10*N111/O111-'リアルタイムNAV一覧'!I111</f>
        <v>9472.95679296297</v>
      </c>
      <c r="L111" s="3">
        <f>'指数取得'!C64</f>
        <v>40256</v>
      </c>
      <c r="M111" s="175">
        <f>'指数取得'!D62</f>
        <v>0.03194444444444445</v>
      </c>
      <c r="N111" s="168">
        <f>977785375/10900</f>
        <v>89705.08027522935</v>
      </c>
      <c r="O111" s="86">
        <f>10285.97*88.55</f>
        <v>910822.6434999999</v>
      </c>
    </row>
    <row r="112" spans="2:13" ht="14.25">
      <c r="B112" s="241" t="s">
        <v>1368</v>
      </c>
      <c r="C112" t="s">
        <v>1727</v>
      </c>
      <c r="D112">
        <v>1680</v>
      </c>
      <c r="E112" s="66">
        <f>'基準価額'!E87</f>
        <v>1046.40795898437</v>
      </c>
      <c r="F112" s="264">
        <f>'基準価額'!D87</f>
        <v>40254</v>
      </c>
      <c r="G112" s="70">
        <v>1</v>
      </c>
      <c r="H112" s="4">
        <f>E112/G112</f>
        <v>1046.40795898437</v>
      </c>
      <c r="I112" s="4">
        <f>'基準価額'!I72</f>
        <v>0</v>
      </c>
      <c r="J112" s="262">
        <f>(K112-H112)/H112</f>
        <v>0.002896275173655747</v>
      </c>
      <c r="K112" s="63">
        <f>'基準価額'!E206*'指数取得'!E105/'基準価額'!F87*'基準価額'!E87*('指数取得'!C179+1)</f>
        <v>1049.4386443774922</v>
      </c>
      <c r="L112" s="3">
        <f>'指数取得'!C65</f>
        <v>40256</v>
      </c>
      <c r="M112" s="175">
        <f>'指数取得'!D65</f>
        <v>0.03263888888888889</v>
      </c>
    </row>
    <row r="113" spans="2:22" ht="14.25">
      <c r="B113" s="241" t="s">
        <v>1369</v>
      </c>
      <c r="C113" t="s">
        <v>1730</v>
      </c>
      <c r="D113">
        <v>1681</v>
      </c>
      <c r="E113" s="66">
        <f>'基準価額'!E88</f>
        <v>1116.84216308593</v>
      </c>
      <c r="F113" s="264">
        <f>'基準価額'!D88</f>
        <v>40254</v>
      </c>
      <c r="G113" s="70">
        <v>1</v>
      </c>
      <c r="H113" s="4">
        <f>E113/G113</f>
        <v>1116.84216308593</v>
      </c>
      <c r="I113" s="4">
        <f>'基準価額'!I73</f>
        <v>0</v>
      </c>
      <c r="J113" s="262">
        <f>(K113-H113)/H113</f>
        <v>0.011646797953944644</v>
      </c>
      <c r="K113" s="63">
        <f>'基準価額'!E207*'指数取得'!E105/'基準価額'!F88*'基準価額'!E88*('指数取得'!C150+1)</f>
        <v>1129.8497981058383</v>
      </c>
      <c r="L113" s="3">
        <f>'指数取得'!C51</f>
        <v>40256</v>
      </c>
      <c r="M113" s="176">
        <f>'指数取得'!F150</f>
        <v>0.8319444444444444</v>
      </c>
      <c r="V113" s="67">
        <v>1</v>
      </c>
    </row>
    <row r="114" spans="2:13" ht="14.25">
      <c r="B114" t="s">
        <v>847</v>
      </c>
      <c r="C114" s="7" t="s">
        <v>314</v>
      </c>
      <c r="D114">
        <v>1682</v>
      </c>
      <c r="E114" s="46">
        <f>'基準価額'!E28</f>
        <v>27819</v>
      </c>
      <c r="F114" s="264">
        <f>'基準価額'!D28</f>
        <v>40254</v>
      </c>
      <c r="G114" s="70">
        <v>100</v>
      </c>
      <c r="H114" s="4">
        <f>E114/G114</f>
        <v>278.19</v>
      </c>
      <c r="I114" s="51"/>
      <c r="J114" s="2">
        <f>'指数取得'!G47</f>
        <v>-0.004025423728813559</v>
      </c>
      <c r="K114" s="63">
        <f>H114*(1+J114)</f>
        <v>277.0701673728814</v>
      </c>
      <c r="L114" s="3">
        <f>'指数取得'!C42</f>
        <v>40255</v>
      </c>
      <c r="M114" s="21">
        <f>'指数取得'!D42</f>
        <v>0.9756944444444445</v>
      </c>
    </row>
    <row r="115" spans="2:13" ht="14.25">
      <c r="B115" t="s">
        <v>321</v>
      </c>
      <c r="C115" s="7" t="s">
        <v>315</v>
      </c>
      <c r="D115">
        <v>1683</v>
      </c>
      <c r="E115" s="46">
        <f>'基準価額'!E160</f>
        <v>3238</v>
      </c>
      <c r="F115" s="264">
        <f>'基準価額'!D160</f>
        <v>40254</v>
      </c>
      <c r="G115" s="70">
        <v>1</v>
      </c>
      <c r="H115" s="4">
        <f>E115/G115</f>
        <v>3238</v>
      </c>
      <c r="I115" s="4"/>
      <c r="J115" s="2">
        <f>'指数取得'!G44</f>
        <v>-0.008809234507897935</v>
      </c>
      <c r="K115" s="63">
        <f>H115*(1+J115)</f>
        <v>3209.4756986634266</v>
      </c>
      <c r="L115" s="3">
        <f>'指数取得'!C47</f>
        <v>40255</v>
      </c>
      <c r="M115" s="21">
        <f>'指数取得'!D47</f>
        <v>0.9756944444444445</v>
      </c>
    </row>
    <row r="116" spans="2:12" ht="14.25">
      <c r="B116" s="359" t="s">
        <v>574</v>
      </c>
      <c r="C116" s="7" t="s">
        <v>562</v>
      </c>
      <c r="D116">
        <v>1684</v>
      </c>
      <c r="E116" s="367">
        <f>'基準価額'!E225</f>
        <v>14.074</v>
      </c>
      <c r="F116" s="3">
        <f>'基準価額'!D225</f>
        <v>40253</v>
      </c>
      <c r="G116" s="70">
        <v>1</v>
      </c>
      <c r="H116" s="39">
        <f aca="true" t="shared" si="6" ref="H116:H129">E116/G116</f>
        <v>14.074</v>
      </c>
      <c r="I116" s="51"/>
      <c r="J116" s="51"/>
      <c r="K116" s="389">
        <f>'基準価額'!H225*'指数取得'!$E$105*(1+'指数取得'!C202)</f>
        <v>1270.726293138403</v>
      </c>
      <c r="L116" s="51"/>
    </row>
    <row r="117" spans="2:12" ht="14.25">
      <c r="B117" s="359" t="s">
        <v>1035</v>
      </c>
      <c r="C117" s="7" t="s">
        <v>563</v>
      </c>
      <c r="D117">
        <v>1685</v>
      </c>
      <c r="E117" s="367">
        <f>'基準価額'!E226</f>
        <v>12.874</v>
      </c>
      <c r="F117" s="3">
        <f>'基準価額'!D226</f>
        <v>40253</v>
      </c>
      <c r="G117" s="70">
        <v>1</v>
      </c>
      <c r="H117" s="39">
        <f t="shared" si="6"/>
        <v>12.874</v>
      </c>
      <c r="I117" s="51"/>
      <c r="J117" s="51"/>
      <c r="K117" s="389">
        <f>'基準価額'!H226*'指数取得'!$E$105*(1+'指数取得'!C210)</f>
        <v>1146.59619463887</v>
      </c>
      <c r="L117" s="51"/>
    </row>
    <row r="118" spans="2:12" ht="14.25">
      <c r="B118" s="359" t="s">
        <v>692</v>
      </c>
      <c r="C118" s="7" t="s">
        <v>564</v>
      </c>
      <c r="D118">
        <v>1686</v>
      </c>
      <c r="E118" s="367">
        <f>'基準価額'!E227</f>
        <v>18.112</v>
      </c>
      <c r="F118" s="3">
        <f>'基準価額'!D227</f>
        <v>40253</v>
      </c>
      <c r="G118" s="70">
        <v>1</v>
      </c>
      <c r="H118" s="39">
        <f t="shared" si="6"/>
        <v>18.112</v>
      </c>
      <c r="I118" s="51"/>
      <c r="J118" s="51"/>
      <c r="K118" s="389">
        <f>'基準価額'!H227*'指数取得'!$E$105*(1+'指数取得'!C218)</f>
        <v>1636.5258513865554</v>
      </c>
      <c r="L118" s="51"/>
    </row>
    <row r="119" spans="2:12" ht="14.25">
      <c r="B119" s="359" t="s">
        <v>685</v>
      </c>
      <c r="C119" s="7" t="s">
        <v>575</v>
      </c>
      <c r="D119">
        <v>1687</v>
      </c>
      <c r="E119" s="367">
        <f>'基準価額'!E228</f>
        <v>5.996</v>
      </c>
      <c r="F119" s="3">
        <f>'基準価額'!D228</f>
        <v>40253</v>
      </c>
      <c r="G119" s="70">
        <v>1</v>
      </c>
      <c r="H119" s="39">
        <f t="shared" si="6"/>
        <v>5.996</v>
      </c>
      <c r="I119" s="51"/>
      <c r="J119" s="51"/>
      <c r="K119" s="389">
        <f>'基準価額'!H228*'指数取得'!$E$105*(1+'指数取得'!C229)</f>
        <v>540.8231611856447</v>
      </c>
      <c r="L119" s="51"/>
    </row>
    <row r="120" spans="2:12" ht="14.25">
      <c r="B120" s="359" t="s">
        <v>1101</v>
      </c>
      <c r="C120" s="7" t="s">
        <v>576</v>
      </c>
      <c r="D120">
        <v>1688</v>
      </c>
      <c r="E120" s="367">
        <f>'基準価額'!E229</f>
        <v>4.553</v>
      </c>
      <c r="F120" s="3">
        <f>'基準価額'!D229</f>
        <v>40253</v>
      </c>
      <c r="G120" s="70">
        <v>1</v>
      </c>
      <c r="H120" s="39">
        <f t="shared" si="6"/>
        <v>4.553</v>
      </c>
      <c r="I120" s="51"/>
      <c r="J120" s="51"/>
      <c r="K120" s="389">
        <f>'基準価額'!H229*'指数取得'!$E$105*(1+'指数取得'!C236)</f>
        <v>413.67747212354124</v>
      </c>
      <c r="L120" s="51"/>
    </row>
    <row r="121" spans="2:12" ht="14.25">
      <c r="B121" s="359" t="s">
        <v>577</v>
      </c>
      <c r="C121" s="7" t="s">
        <v>565</v>
      </c>
      <c r="D121">
        <v>1689</v>
      </c>
      <c r="E121" s="367">
        <f>'基準価額'!E230</f>
        <v>0.435</v>
      </c>
      <c r="F121" s="3">
        <f>'基準価額'!D230</f>
        <v>40253</v>
      </c>
      <c r="G121" s="70">
        <v>1</v>
      </c>
      <c r="H121" s="39">
        <f t="shared" si="6"/>
        <v>0.435</v>
      </c>
      <c r="I121" s="51"/>
      <c r="J121" s="51"/>
      <c r="K121" s="389">
        <f>'基準価額'!H230*'指数取得'!$E$105*(1+'指数取得'!G76*'指数取得'!F183)</f>
        <v>37.89590473361096</v>
      </c>
      <c r="L121" s="51"/>
    </row>
    <row r="122" spans="2:12" ht="14.25">
      <c r="B122" s="359" t="s">
        <v>581</v>
      </c>
      <c r="C122" s="7" t="s">
        <v>566</v>
      </c>
      <c r="D122">
        <v>1690</v>
      </c>
      <c r="E122" s="367">
        <f>'基準価額'!E231</f>
        <v>27.421</v>
      </c>
      <c r="F122" s="3">
        <f>'基準価額'!D231</f>
        <v>40253</v>
      </c>
      <c r="G122" s="70">
        <v>1</v>
      </c>
      <c r="H122" s="39">
        <f t="shared" si="6"/>
        <v>27.421</v>
      </c>
      <c r="I122" s="51"/>
      <c r="J122" s="51"/>
      <c r="K122" s="389">
        <f>'基準価額'!H231*'指数取得'!$E$105*(1+'指数取得'!G77*'指数取得'!F184)</f>
        <v>2492.043691751386</v>
      </c>
      <c r="L122" s="51"/>
    </row>
    <row r="123" spans="2:12" ht="14.25">
      <c r="B123" s="359" t="s">
        <v>582</v>
      </c>
      <c r="C123" s="7" t="s">
        <v>567</v>
      </c>
      <c r="D123">
        <v>1691</v>
      </c>
      <c r="E123" s="367">
        <f>'基準価額'!E232</f>
        <v>34.131</v>
      </c>
      <c r="F123" s="3">
        <f>'基準価額'!D232</f>
        <v>40253</v>
      </c>
      <c r="G123" s="70">
        <v>1</v>
      </c>
      <c r="H123" s="39">
        <f t="shared" si="6"/>
        <v>34.131</v>
      </c>
      <c r="I123" s="51"/>
      <c r="J123" s="51"/>
      <c r="K123" s="389">
        <f>'基準価額'!H232*'指数取得'!$E$105*(1+'指数取得'!G78*'指数取得'!F185)</f>
        <v>3020.51334369475</v>
      </c>
      <c r="L123" s="51"/>
    </row>
    <row r="124" spans="2:12" ht="14.25">
      <c r="B124" s="359" t="s">
        <v>583</v>
      </c>
      <c r="C124" s="7" t="s">
        <v>568</v>
      </c>
      <c r="D124">
        <v>1692</v>
      </c>
      <c r="E124" s="367">
        <f>'基準価額'!E233</f>
        <v>5.66</v>
      </c>
      <c r="F124" s="3">
        <f>'基準価額'!D233</f>
        <v>40253</v>
      </c>
      <c r="G124" s="70">
        <v>1</v>
      </c>
      <c r="H124" s="39">
        <f t="shared" si="6"/>
        <v>5.66</v>
      </c>
      <c r="I124" s="51"/>
      <c r="J124" s="51"/>
      <c r="K124" s="389">
        <f>'基準価額'!H233*'指数取得'!$E$105*(1+'指数取得'!G80*'指数取得'!F187)</f>
        <v>519.4336727071119</v>
      </c>
      <c r="L124" s="51"/>
    </row>
    <row r="125" spans="2:12" ht="14.25">
      <c r="B125" s="359" t="s">
        <v>578</v>
      </c>
      <c r="C125" s="7" t="s">
        <v>569</v>
      </c>
      <c r="D125">
        <v>1693</v>
      </c>
      <c r="E125" s="367">
        <f>'基準価額'!E234</f>
        <v>38.536</v>
      </c>
      <c r="F125" s="3">
        <f>'基準価額'!D234</f>
        <v>40253</v>
      </c>
      <c r="G125" s="70">
        <v>1</v>
      </c>
      <c r="H125" s="39">
        <f t="shared" si="6"/>
        <v>38.536</v>
      </c>
      <c r="I125" s="51"/>
      <c r="J125" s="51"/>
      <c r="K125" s="389">
        <f>'基準価額'!H234*'指数取得'!$E$105*(1+'指数取得'!G81*'指数取得'!F188)</f>
        <v>3502.0020230964287</v>
      </c>
      <c r="L125" s="51"/>
    </row>
    <row r="126" spans="2:12" ht="14.25">
      <c r="B126" s="359" t="s">
        <v>584</v>
      </c>
      <c r="C126" s="7" t="s">
        <v>570</v>
      </c>
      <c r="D126">
        <v>1694</v>
      </c>
      <c r="E126" s="367">
        <f>'基準価額'!E235</f>
        <v>25.804</v>
      </c>
      <c r="F126" s="3">
        <f>'基準価額'!D235</f>
        <v>40253</v>
      </c>
      <c r="G126" s="70">
        <v>1</v>
      </c>
      <c r="H126" s="39">
        <f t="shared" si="6"/>
        <v>25.804</v>
      </c>
      <c r="I126" s="51"/>
      <c r="J126" s="51"/>
      <c r="K126" s="389">
        <f>'基準価額'!H235*'指数取得'!$E$105*(1+'指数取得'!G83*'指数取得'!F190)</f>
        <v>2370.923952178393</v>
      </c>
      <c r="L126" s="51"/>
    </row>
    <row r="127" spans="2:12" ht="14.25">
      <c r="B127" s="359" t="s">
        <v>579</v>
      </c>
      <c r="C127" s="7" t="s">
        <v>571</v>
      </c>
      <c r="D127">
        <v>1695</v>
      </c>
      <c r="E127" s="367">
        <f>'基準価額'!E236</f>
        <v>1.884</v>
      </c>
      <c r="F127" s="3">
        <f>'基準価額'!D236</f>
        <v>40253</v>
      </c>
      <c r="G127" s="70">
        <v>1</v>
      </c>
      <c r="H127" s="39">
        <f t="shared" si="6"/>
        <v>1.884</v>
      </c>
      <c r="I127" s="51"/>
      <c r="J127" s="51"/>
      <c r="K127" s="389">
        <f>'基準価額'!H236*'指数取得'!$E$105*(1+'指数取得'!G88*'指数取得'!F195)</f>
        <v>169.692093327745</v>
      </c>
      <c r="L127" s="51"/>
    </row>
    <row r="128" spans="2:12" ht="14.25">
      <c r="B128" s="359" t="s">
        <v>585</v>
      </c>
      <c r="C128" s="7" t="s">
        <v>572</v>
      </c>
      <c r="D128">
        <v>1696</v>
      </c>
      <c r="E128" s="367">
        <f>'基準価額'!E237</f>
        <v>1.287</v>
      </c>
      <c r="F128" s="3">
        <f>'基準価額'!D237</f>
        <v>40253</v>
      </c>
      <c r="G128" s="70">
        <v>1</v>
      </c>
      <c r="H128" s="39">
        <f t="shared" si="6"/>
        <v>1.287</v>
      </c>
      <c r="I128" s="51"/>
      <c r="J128" s="51"/>
      <c r="K128" s="389">
        <f>'基準価額'!H237*'指数取得'!$E$105*(1+'指数取得'!G89*'指数取得'!F196)</f>
        <v>117.26325957263283</v>
      </c>
      <c r="L128" s="51"/>
    </row>
    <row r="129" spans="2:12" ht="15" thickBot="1">
      <c r="B129" s="359" t="s">
        <v>580</v>
      </c>
      <c r="C129" s="7" t="s">
        <v>573</v>
      </c>
      <c r="D129">
        <v>1697</v>
      </c>
      <c r="E129" s="367">
        <f>'基準価額'!E238</f>
        <v>14.862</v>
      </c>
      <c r="F129" s="3">
        <f>'基準価額'!D238</f>
        <v>40253</v>
      </c>
      <c r="G129" s="70">
        <v>1</v>
      </c>
      <c r="H129" s="39">
        <f t="shared" si="6"/>
        <v>14.862</v>
      </c>
      <c r="I129" s="51"/>
      <c r="J129" s="51"/>
      <c r="K129" s="390">
        <f>'基準価額'!H238*'指数取得'!$E$105*(1+'指数取得'!G90*'指数取得'!F197)</f>
        <v>1364.9062500813227</v>
      </c>
      <c r="L129" s="51"/>
    </row>
    <row r="130" spans="7:12" ht="13.5">
      <c r="G130" s="51"/>
      <c r="H130" s="51"/>
      <c r="I130" s="51"/>
      <c r="J130" s="51"/>
      <c r="K130" s="51"/>
      <c r="L130" s="51"/>
    </row>
    <row r="131" spans="7:12" ht="13.5">
      <c r="G131" s="51"/>
      <c r="H131" s="51"/>
      <c r="I131" s="51"/>
      <c r="J131" s="51"/>
      <c r="K131" s="51"/>
      <c r="L131" s="51"/>
    </row>
    <row r="132" spans="7:12" ht="13.5">
      <c r="G132" s="51"/>
      <c r="H132" s="51"/>
      <c r="I132" s="51"/>
      <c r="J132" s="51"/>
      <c r="K132" s="51"/>
      <c r="L132" s="51"/>
    </row>
    <row r="133" spans="7:12" ht="13.5">
      <c r="G133" s="51"/>
      <c r="H133" s="51"/>
      <c r="I133" s="51"/>
      <c r="J133" s="51"/>
      <c r="K133" s="51"/>
      <c r="L133" s="51"/>
    </row>
    <row r="134" spans="7:12" ht="13.5">
      <c r="G134" s="51"/>
      <c r="H134" s="51"/>
      <c r="I134" s="51"/>
      <c r="J134" s="51"/>
      <c r="K134" s="51"/>
      <c r="L134" s="51"/>
    </row>
    <row r="135" spans="7:12" ht="13.5">
      <c r="G135" s="51"/>
      <c r="H135" s="51"/>
      <c r="I135" s="51"/>
      <c r="J135" s="51"/>
      <c r="K135" s="51"/>
      <c r="L135" s="51"/>
    </row>
    <row r="136" spans="7:12" ht="13.5">
      <c r="G136" s="51"/>
      <c r="H136" s="51"/>
      <c r="I136" s="51"/>
      <c r="J136" s="51"/>
      <c r="K136" s="51"/>
      <c r="L136" s="51"/>
    </row>
    <row r="137" spans="7:12" ht="13.5">
      <c r="G137" s="51"/>
      <c r="H137" s="51"/>
      <c r="I137" s="51"/>
      <c r="J137" s="51"/>
      <c r="K137" s="51"/>
      <c r="L137" s="51"/>
    </row>
    <row r="138" spans="7:12" ht="13.5">
      <c r="G138" s="51"/>
      <c r="H138" s="51"/>
      <c r="I138" s="51"/>
      <c r="J138" s="51"/>
      <c r="K138" s="51"/>
      <c r="L138" s="51"/>
    </row>
    <row r="139" spans="7:12" ht="13.5">
      <c r="G139" s="51"/>
      <c r="H139" s="51"/>
      <c r="I139" s="51"/>
      <c r="J139" s="51"/>
      <c r="K139" s="51"/>
      <c r="L139" s="51"/>
    </row>
    <row r="140" spans="7:12" ht="13.5">
      <c r="G140" s="51"/>
      <c r="H140" s="51"/>
      <c r="I140" s="51"/>
      <c r="J140" s="51"/>
      <c r="K140" s="51"/>
      <c r="L140" s="51"/>
    </row>
    <row r="141" spans="7:12" ht="13.5">
      <c r="G141" s="51"/>
      <c r="H141" s="51"/>
      <c r="I141" s="51"/>
      <c r="J141" s="51"/>
      <c r="K141" s="51"/>
      <c r="L141" s="51"/>
    </row>
    <row r="142" spans="7:12" ht="13.5">
      <c r="G142" s="51"/>
      <c r="H142" s="51"/>
      <c r="I142" s="51"/>
      <c r="J142" s="51"/>
      <c r="K142" s="51"/>
      <c r="L142" s="51"/>
    </row>
    <row r="143" spans="7:12" ht="13.5">
      <c r="G143" s="51"/>
      <c r="H143" s="51"/>
      <c r="I143" s="51"/>
      <c r="J143" s="51"/>
      <c r="K143" s="51"/>
      <c r="L143" s="51"/>
    </row>
    <row r="144" spans="7:12" ht="13.5">
      <c r="G144" s="51"/>
      <c r="H144" s="51"/>
      <c r="I144" s="51"/>
      <c r="J144" s="51"/>
      <c r="K144" s="51"/>
      <c r="L144" s="51"/>
    </row>
    <row r="145" spans="7:12" ht="13.5">
      <c r="G145" s="51"/>
      <c r="H145" s="51"/>
      <c r="I145" s="51"/>
      <c r="J145" s="51"/>
      <c r="K145" s="51"/>
      <c r="L145" s="51"/>
    </row>
    <row r="146" spans="7:12" ht="13.5">
      <c r="G146" s="51"/>
      <c r="H146" s="51"/>
      <c r="I146" s="51"/>
      <c r="J146" s="51"/>
      <c r="K146" s="51"/>
      <c r="L146" s="51"/>
    </row>
    <row r="147" spans="7:12" ht="13.5">
      <c r="G147" s="51"/>
      <c r="H147" s="51"/>
      <c r="I147" s="51"/>
      <c r="J147" s="51"/>
      <c r="K147" s="51"/>
      <c r="L147" s="51"/>
    </row>
    <row r="148" spans="7:12" ht="13.5">
      <c r="G148" s="51"/>
      <c r="H148" s="51"/>
      <c r="I148" s="51"/>
      <c r="J148" s="51"/>
      <c r="K148" s="51"/>
      <c r="L148" s="51"/>
    </row>
    <row r="149" spans="7:12" ht="13.5">
      <c r="G149" s="51"/>
      <c r="H149" s="51"/>
      <c r="I149" s="51"/>
      <c r="J149" s="51"/>
      <c r="K149" s="51"/>
      <c r="L149" s="51"/>
    </row>
    <row r="150" spans="7:12" ht="13.5">
      <c r="G150" s="51"/>
      <c r="H150" s="51"/>
      <c r="I150" s="51"/>
      <c r="J150" s="51"/>
      <c r="K150" s="51"/>
      <c r="L150" s="51"/>
    </row>
    <row r="151" spans="7:12" ht="13.5">
      <c r="G151" s="51"/>
      <c r="H151" s="51"/>
      <c r="I151" s="51"/>
      <c r="J151" s="51"/>
      <c r="K151" s="51"/>
      <c r="L151" s="51"/>
    </row>
    <row r="152" spans="7:12" ht="13.5">
      <c r="G152" s="51"/>
      <c r="H152" s="51"/>
      <c r="I152" s="51"/>
      <c r="J152" s="51"/>
      <c r="K152" s="51"/>
      <c r="L152" s="51"/>
    </row>
    <row r="153" spans="7:12" ht="13.5">
      <c r="G153" s="51"/>
      <c r="H153" s="51"/>
      <c r="I153" s="51"/>
      <c r="J153" s="51"/>
      <c r="K153" s="51"/>
      <c r="L153" s="51"/>
    </row>
    <row r="154" spans="7:12" ht="13.5">
      <c r="G154" s="51"/>
      <c r="H154" s="51"/>
      <c r="I154" s="51"/>
      <c r="J154" s="51"/>
      <c r="K154" s="51"/>
      <c r="L154" s="51"/>
    </row>
    <row r="155" spans="7:12" ht="13.5">
      <c r="G155" s="51"/>
      <c r="H155" s="51"/>
      <c r="I155" s="51"/>
      <c r="J155" s="51"/>
      <c r="K155" s="51"/>
      <c r="L155" s="51"/>
    </row>
    <row r="156" spans="7:12" ht="13.5">
      <c r="G156" s="51"/>
      <c r="H156" s="51"/>
      <c r="I156" s="51"/>
      <c r="J156" s="51"/>
      <c r="K156" s="51"/>
      <c r="L156" s="51"/>
    </row>
    <row r="157" spans="7:12" ht="13.5">
      <c r="G157" s="51"/>
      <c r="H157" s="51"/>
      <c r="I157" s="51"/>
      <c r="J157" s="51"/>
      <c r="K157" s="51"/>
      <c r="L157" s="51"/>
    </row>
    <row r="158" spans="7:12" ht="13.5">
      <c r="G158" s="51"/>
      <c r="H158" s="51"/>
      <c r="I158" s="51"/>
      <c r="J158" s="51"/>
      <c r="K158" s="51"/>
      <c r="L158" s="51"/>
    </row>
    <row r="159" spans="7:12" ht="13.5">
      <c r="G159" s="51"/>
      <c r="H159" s="51"/>
      <c r="I159" s="51"/>
      <c r="J159" s="51"/>
      <c r="K159" s="51"/>
      <c r="L159" s="51"/>
    </row>
    <row r="160" spans="7:12" ht="13.5">
      <c r="G160" s="51"/>
      <c r="H160" s="51"/>
      <c r="I160" s="51"/>
      <c r="J160" s="51"/>
      <c r="K160" s="51"/>
      <c r="L160" s="51"/>
    </row>
    <row r="161" spans="7:12" ht="13.5">
      <c r="G161" s="51"/>
      <c r="H161" s="51"/>
      <c r="I161" s="51"/>
      <c r="J161" s="51"/>
      <c r="K161" s="51"/>
      <c r="L161" s="51"/>
    </row>
    <row r="162" spans="7:12" ht="13.5">
      <c r="G162" s="51"/>
      <c r="H162" s="51"/>
      <c r="I162" s="51"/>
      <c r="J162" s="51"/>
      <c r="K162" s="51"/>
      <c r="L162" s="51"/>
    </row>
    <row r="163" spans="7:12" ht="13.5">
      <c r="G163" s="51"/>
      <c r="H163" s="51"/>
      <c r="I163" s="51"/>
      <c r="J163" s="51"/>
      <c r="K163" s="51"/>
      <c r="L163" s="51"/>
    </row>
    <row r="164" spans="7:12" ht="13.5">
      <c r="G164" s="51"/>
      <c r="H164" s="51"/>
      <c r="I164" s="51"/>
      <c r="J164" s="51"/>
      <c r="K164" s="51"/>
      <c r="L164" s="51"/>
    </row>
    <row r="165" spans="7:12" ht="13.5">
      <c r="G165" s="51"/>
      <c r="H165" s="51"/>
      <c r="I165" s="51"/>
      <c r="J165" s="51"/>
      <c r="K165" s="51"/>
      <c r="L165" s="51"/>
    </row>
    <row r="166" spans="7:12" ht="13.5">
      <c r="G166" s="51"/>
      <c r="H166" s="51"/>
      <c r="I166" s="51"/>
      <c r="J166" s="51"/>
      <c r="K166" s="51"/>
      <c r="L166" s="51"/>
    </row>
    <row r="167" spans="7:12" ht="13.5">
      <c r="G167" s="51"/>
      <c r="H167" s="51"/>
      <c r="I167" s="51"/>
      <c r="J167" s="51"/>
      <c r="K167" s="51"/>
      <c r="L167" s="51"/>
    </row>
    <row r="168" spans="7:12" ht="13.5">
      <c r="G168" s="51"/>
      <c r="H168" s="51"/>
      <c r="I168" s="51"/>
      <c r="J168" s="51"/>
      <c r="K168" s="51"/>
      <c r="L168" s="51"/>
    </row>
    <row r="169" spans="7:12" ht="13.5">
      <c r="G169" s="51"/>
      <c r="H169" s="51"/>
      <c r="I169" s="51"/>
      <c r="J169" s="51"/>
      <c r="K169" s="51"/>
      <c r="L169" s="51"/>
    </row>
    <row r="170" spans="7:12" ht="13.5">
      <c r="G170" s="51"/>
      <c r="H170" s="51"/>
      <c r="I170" s="51"/>
      <c r="J170" s="51"/>
      <c r="K170" s="51"/>
      <c r="L170" s="51"/>
    </row>
    <row r="171" spans="7:12" ht="13.5">
      <c r="G171" s="51"/>
      <c r="H171" s="51"/>
      <c r="I171" s="51"/>
      <c r="J171" s="51"/>
      <c r="K171" s="51"/>
      <c r="L171" s="51"/>
    </row>
    <row r="172" spans="7:12" ht="13.5">
      <c r="G172" s="51"/>
      <c r="H172" s="51"/>
      <c r="I172" s="51"/>
      <c r="J172" s="51"/>
      <c r="K172" s="51"/>
      <c r="L172" s="51"/>
    </row>
    <row r="173" spans="7:12" ht="13.5">
      <c r="G173" s="51"/>
      <c r="H173" s="51"/>
      <c r="I173" s="51"/>
      <c r="J173" s="51"/>
      <c r="K173" s="51"/>
      <c r="L173" s="51"/>
    </row>
    <row r="174" spans="7:12" ht="13.5">
      <c r="G174" s="51"/>
      <c r="H174" s="51"/>
      <c r="I174" s="51"/>
      <c r="J174" s="51"/>
      <c r="K174" s="51"/>
      <c r="L174" s="51"/>
    </row>
    <row r="175" spans="7:12" ht="13.5">
      <c r="G175" s="51"/>
      <c r="H175" s="51"/>
      <c r="I175" s="51"/>
      <c r="J175" s="51"/>
      <c r="K175" s="51"/>
      <c r="L175" s="51"/>
    </row>
    <row r="176" spans="7:12" ht="13.5">
      <c r="G176" s="51"/>
      <c r="H176" s="51"/>
      <c r="I176" s="51"/>
      <c r="J176" s="51"/>
      <c r="K176" s="51"/>
      <c r="L176" s="51"/>
    </row>
    <row r="177" spans="7:12" ht="13.5">
      <c r="G177" s="51"/>
      <c r="H177" s="51"/>
      <c r="I177" s="51"/>
      <c r="J177" s="51"/>
      <c r="K177" s="51"/>
      <c r="L177" s="51"/>
    </row>
    <row r="178" spans="7:12" ht="13.5">
      <c r="G178" s="51"/>
      <c r="H178" s="51"/>
      <c r="I178" s="51"/>
      <c r="J178" s="51"/>
      <c r="K178" s="51"/>
      <c r="L178" s="51"/>
    </row>
    <row r="179" spans="7:12" ht="13.5">
      <c r="G179" s="51"/>
      <c r="H179" s="51"/>
      <c r="I179" s="51"/>
      <c r="J179" s="51"/>
      <c r="K179" s="51"/>
      <c r="L179" s="51"/>
    </row>
    <row r="180" spans="7:12" ht="13.5">
      <c r="G180" s="51"/>
      <c r="H180" s="51"/>
      <c r="I180" s="51"/>
      <c r="J180" s="51"/>
      <c r="K180" s="51"/>
      <c r="L180" s="51"/>
    </row>
    <row r="181" spans="7:12" ht="13.5">
      <c r="G181" s="51"/>
      <c r="H181" s="51"/>
      <c r="I181" s="51"/>
      <c r="J181" s="51"/>
      <c r="K181" s="51"/>
      <c r="L181" s="51"/>
    </row>
    <row r="182" spans="7:12" ht="13.5">
      <c r="G182" s="51"/>
      <c r="H182" s="51"/>
      <c r="I182" s="51"/>
      <c r="J182" s="51"/>
      <c r="K182" s="51"/>
      <c r="L182" s="51"/>
    </row>
    <row r="183" spans="7:12" ht="13.5">
      <c r="G183" s="51"/>
      <c r="H183" s="51"/>
      <c r="I183" s="51"/>
      <c r="J183" s="51"/>
      <c r="K183" s="51"/>
      <c r="L183" s="51"/>
    </row>
    <row r="184" spans="7:12" ht="13.5">
      <c r="G184" s="51"/>
      <c r="H184" s="51"/>
      <c r="I184" s="51"/>
      <c r="J184" s="51"/>
      <c r="K184" s="51"/>
      <c r="L184" s="51"/>
    </row>
    <row r="185" spans="7:12" ht="13.5">
      <c r="G185" s="51"/>
      <c r="H185" s="51"/>
      <c r="I185" s="51"/>
      <c r="J185" s="51"/>
      <c r="K185" s="51"/>
      <c r="L185" s="51"/>
    </row>
    <row r="186" spans="7:12" ht="13.5">
      <c r="G186" s="51"/>
      <c r="H186" s="51"/>
      <c r="I186" s="51"/>
      <c r="J186" s="51"/>
      <c r="K186" s="51"/>
      <c r="L186" s="51"/>
    </row>
    <row r="187" spans="7:12" ht="13.5">
      <c r="G187" s="51"/>
      <c r="H187" s="51"/>
      <c r="I187" s="51"/>
      <c r="J187" s="51"/>
      <c r="K187" s="51"/>
      <c r="L187" s="51"/>
    </row>
    <row r="188" spans="7:12" ht="13.5">
      <c r="G188" s="51"/>
      <c r="H188" s="51"/>
      <c r="I188" s="51"/>
      <c r="J188" s="51"/>
      <c r="K188" s="51"/>
      <c r="L188" s="51"/>
    </row>
    <row r="189" spans="7:12" ht="13.5">
      <c r="G189" s="51"/>
      <c r="H189" s="51"/>
      <c r="I189" s="51"/>
      <c r="J189" s="51"/>
      <c r="K189" s="51"/>
      <c r="L189" s="51"/>
    </row>
    <row r="190" spans="7:12" ht="13.5">
      <c r="G190" s="51"/>
      <c r="H190" s="51"/>
      <c r="I190" s="51"/>
      <c r="J190" s="51"/>
      <c r="K190" s="51"/>
      <c r="L190" s="51"/>
    </row>
    <row r="191" spans="7:12" ht="13.5">
      <c r="G191" s="51"/>
      <c r="H191" s="51"/>
      <c r="I191" s="51"/>
      <c r="J191" s="51"/>
      <c r="K191" s="51"/>
      <c r="L191" s="51"/>
    </row>
    <row r="192" spans="7:12" ht="13.5">
      <c r="G192" s="51"/>
      <c r="H192" s="51"/>
      <c r="I192" s="51"/>
      <c r="J192" s="51"/>
      <c r="K192" s="51"/>
      <c r="L192" s="51"/>
    </row>
    <row r="193" spans="7:12" ht="13.5">
      <c r="G193" s="51"/>
      <c r="H193" s="51"/>
      <c r="I193" s="51"/>
      <c r="J193" s="51"/>
      <c r="K193" s="51"/>
      <c r="L193" s="51"/>
    </row>
    <row r="194" spans="7:12" ht="13.5">
      <c r="G194" s="51"/>
      <c r="H194" s="51"/>
      <c r="I194" s="51"/>
      <c r="J194" s="51"/>
      <c r="K194" s="51"/>
      <c r="L194" s="51"/>
    </row>
    <row r="195" spans="7:12" ht="13.5">
      <c r="G195" s="51"/>
      <c r="H195" s="51"/>
      <c r="I195" s="51"/>
      <c r="J195" s="51"/>
      <c r="K195" s="51"/>
      <c r="L195" s="51"/>
    </row>
    <row r="196" spans="7:12" ht="13.5">
      <c r="G196" s="51"/>
      <c r="H196" s="51"/>
      <c r="I196" s="51"/>
      <c r="J196" s="51"/>
      <c r="K196" s="51"/>
      <c r="L196" s="51"/>
    </row>
    <row r="197" spans="7:12" ht="13.5">
      <c r="G197" s="51"/>
      <c r="H197" s="51"/>
      <c r="I197" s="51"/>
      <c r="J197" s="51"/>
      <c r="K197" s="51"/>
      <c r="L197" s="51"/>
    </row>
    <row r="198" spans="7:12" ht="13.5">
      <c r="G198" s="51"/>
      <c r="H198" s="51"/>
      <c r="I198" s="51"/>
      <c r="J198" s="51"/>
      <c r="K198" s="51"/>
      <c r="L198" s="51"/>
    </row>
    <row r="199" spans="7:12" ht="13.5">
      <c r="G199" s="51"/>
      <c r="H199" s="51"/>
      <c r="I199" s="51"/>
      <c r="J199" s="51"/>
      <c r="K199" s="51"/>
      <c r="L199" s="51"/>
    </row>
    <row r="200" spans="7:12" ht="13.5">
      <c r="G200" s="51"/>
      <c r="H200" s="51"/>
      <c r="I200" s="51"/>
      <c r="J200" s="51"/>
      <c r="K200" s="51"/>
      <c r="L200" s="51"/>
    </row>
    <row r="201" spans="7:12" ht="13.5">
      <c r="G201" s="51"/>
      <c r="H201" s="51"/>
      <c r="I201" s="51"/>
      <c r="J201" s="51"/>
      <c r="K201" s="51"/>
      <c r="L201" s="51"/>
    </row>
    <row r="202" spans="7:12" ht="13.5">
      <c r="G202" s="51"/>
      <c r="H202" s="51"/>
      <c r="I202" s="51"/>
      <c r="J202" s="51"/>
      <c r="K202" s="51"/>
      <c r="L202" s="51"/>
    </row>
    <row r="203" spans="7:12" ht="13.5">
      <c r="G203" s="51"/>
      <c r="H203" s="51"/>
      <c r="I203" s="51"/>
      <c r="J203" s="51"/>
      <c r="K203" s="51"/>
      <c r="L203" s="51"/>
    </row>
    <row r="204" spans="7:12" ht="13.5">
      <c r="G204" s="51"/>
      <c r="H204" s="51"/>
      <c r="I204" s="51"/>
      <c r="J204" s="51"/>
      <c r="K204" s="51"/>
      <c r="L204" s="51"/>
    </row>
    <row r="205" spans="7:12" ht="13.5">
      <c r="G205" s="51"/>
      <c r="H205" s="51"/>
      <c r="I205" s="51"/>
      <c r="J205" s="51"/>
      <c r="K205" s="51"/>
      <c r="L205" s="51"/>
    </row>
    <row r="206" spans="7:12" ht="13.5">
      <c r="G206" s="51"/>
      <c r="H206" s="51"/>
      <c r="I206" s="51"/>
      <c r="J206" s="51"/>
      <c r="K206" s="51"/>
      <c r="L206" s="51"/>
    </row>
    <row r="207" spans="7:12" ht="13.5">
      <c r="G207" s="51"/>
      <c r="H207" s="51"/>
      <c r="I207" s="51"/>
      <c r="J207" s="51"/>
      <c r="K207" s="51"/>
      <c r="L207" s="51"/>
    </row>
    <row r="208" spans="7:12" ht="13.5">
      <c r="G208" s="51"/>
      <c r="H208" s="51"/>
      <c r="I208" s="51"/>
      <c r="J208" s="51"/>
      <c r="K208" s="51"/>
      <c r="L208" s="51"/>
    </row>
    <row r="209" spans="7:12" ht="13.5">
      <c r="G209" s="51"/>
      <c r="H209" s="51"/>
      <c r="I209" s="51"/>
      <c r="J209" s="51"/>
      <c r="K209" s="51"/>
      <c r="L209" s="51"/>
    </row>
    <row r="210" spans="7:12" ht="13.5">
      <c r="G210" s="51"/>
      <c r="H210" s="51"/>
      <c r="I210" s="51"/>
      <c r="J210" s="51"/>
      <c r="K210" s="51"/>
      <c r="L210" s="51"/>
    </row>
    <row r="211" spans="7:12" ht="13.5">
      <c r="G211" s="51"/>
      <c r="H211" s="51"/>
      <c r="I211" s="51"/>
      <c r="J211" s="51"/>
      <c r="K211" s="51"/>
      <c r="L211" s="51"/>
    </row>
    <row r="212" spans="7:12" ht="13.5">
      <c r="G212" s="51"/>
      <c r="H212" s="51"/>
      <c r="I212" s="51"/>
      <c r="J212" s="51"/>
      <c r="K212" s="51"/>
      <c r="L212" s="51"/>
    </row>
    <row r="213" spans="7:12" ht="13.5">
      <c r="G213" s="51"/>
      <c r="H213" s="51"/>
      <c r="I213" s="51"/>
      <c r="J213" s="51"/>
      <c r="K213" s="51"/>
      <c r="L213" s="51"/>
    </row>
    <row r="214" spans="7:12" ht="13.5">
      <c r="G214" s="51"/>
      <c r="H214" s="51"/>
      <c r="I214" s="51"/>
      <c r="J214" s="51"/>
      <c r="K214" s="51"/>
      <c r="L214" s="51"/>
    </row>
    <row r="215" spans="7:12" ht="13.5">
      <c r="G215" s="51"/>
      <c r="H215" s="51"/>
      <c r="I215" s="51"/>
      <c r="J215" s="51"/>
      <c r="K215" s="51"/>
      <c r="L215" s="51"/>
    </row>
    <row r="216" spans="7:12" ht="13.5">
      <c r="G216" s="51"/>
      <c r="H216" s="51"/>
      <c r="I216" s="51"/>
      <c r="J216" s="51"/>
      <c r="K216" s="51"/>
      <c r="L216" s="51"/>
    </row>
    <row r="217" spans="7:12" ht="13.5">
      <c r="G217" s="51"/>
      <c r="H217" s="51"/>
      <c r="I217" s="51"/>
      <c r="J217" s="51"/>
      <c r="K217" s="51"/>
      <c r="L217" s="51"/>
    </row>
    <row r="218" spans="7:12" ht="13.5">
      <c r="G218" s="51"/>
      <c r="H218" s="51"/>
      <c r="I218" s="51"/>
      <c r="J218" s="51"/>
      <c r="K218" s="51"/>
      <c r="L218" s="51"/>
    </row>
    <row r="219" spans="7:12" ht="13.5">
      <c r="G219" s="51"/>
      <c r="H219" s="51"/>
      <c r="I219" s="51"/>
      <c r="J219" s="51"/>
      <c r="K219" s="51"/>
      <c r="L219" s="51"/>
    </row>
    <row r="220" spans="7:12" ht="13.5">
      <c r="G220" s="51"/>
      <c r="H220" s="51"/>
      <c r="I220" s="51"/>
      <c r="J220" s="51"/>
      <c r="K220" s="51"/>
      <c r="L220" s="51"/>
    </row>
    <row r="221" spans="7:12" ht="13.5">
      <c r="G221" s="51"/>
      <c r="H221" s="51"/>
      <c r="I221" s="51"/>
      <c r="J221" s="51"/>
      <c r="K221" s="51"/>
      <c r="L221" s="51"/>
    </row>
    <row r="222" spans="7:12" ht="13.5">
      <c r="G222" s="51"/>
      <c r="H222" s="51"/>
      <c r="I222" s="51"/>
      <c r="J222" s="51"/>
      <c r="K222" s="51"/>
      <c r="L222" s="51"/>
    </row>
    <row r="223" spans="7:12" ht="13.5">
      <c r="G223" s="51"/>
      <c r="H223" s="51"/>
      <c r="I223" s="51"/>
      <c r="J223" s="51"/>
      <c r="K223" s="51"/>
      <c r="L223" s="51"/>
    </row>
    <row r="224" spans="7:12" ht="13.5">
      <c r="G224" s="51"/>
      <c r="H224" s="51"/>
      <c r="I224" s="51"/>
      <c r="J224" s="51"/>
      <c r="K224" s="51"/>
      <c r="L224" s="51"/>
    </row>
    <row r="225" spans="7:12" ht="13.5">
      <c r="G225" s="51"/>
      <c r="H225" s="51"/>
      <c r="I225" s="51"/>
      <c r="J225" s="51"/>
      <c r="K225" s="51"/>
      <c r="L225" s="51"/>
    </row>
    <row r="226" spans="7:12" ht="13.5">
      <c r="G226" s="51"/>
      <c r="H226" s="51"/>
      <c r="I226" s="51"/>
      <c r="J226" s="51"/>
      <c r="K226" s="51"/>
      <c r="L226" s="51"/>
    </row>
    <row r="227" spans="7:12" ht="13.5">
      <c r="G227" s="51"/>
      <c r="H227" s="51"/>
      <c r="I227" s="51"/>
      <c r="J227" s="51"/>
      <c r="K227" s="51"/>
      <c r="L227" s="51"/>
    </row>
    <row r="228" spans="7:12" ht="13.5">
      <c r="G228" s="51"/>
      <c r="H228" s="51"/>
      <c r="I228" s="51"/>
      <c r="J228" s="51"/>
      <c r="K228" s="51"/>
      <c r="L228" s="51"/>
    </row>
    <row r="229" spans="7:12" ht="13.5">
      <c r="G229" s="51"/>
      <c r="H229" s="51"/>
      <c r="I229" s="51"/>
      <c r="J229" s="51"/>
      <c r="K229" s="51"/>
      <c r="L229" s="51"/>
    </row>
    <row r="230" spans="7:12" ht="13.5">
      <c r="G230" s="51"/>
      <c r="H230" s="51"/>
      <c r="I230" s="51"/>
      <c r="J230" s="51"/>
      <c r="K230" s="51"/>
      <c r="L230" s="51"/>
    </row>
    <row r="231" spans="7:12" ht="13.5">
      <c r="G231" s="51"/>
      <c r="H231" s="51"/>
      <c r="I231" s="51"/>
      <c r="J231" s="51"/>
      <c r="K231" s="51"/>
      <c r="L231" s="51"/>
    </row>
    <row r="232" spans="7:12" ht="13.5">
      <c r="G232" s="51"/>
      <c r="H232" s="51"/>
      <c r="I232" s="51"/>
      <c r="J232" s="51"/>
      <c r="K232" s="51"/>
      <c r="L232" s="51"/>
    </row>
    <row r="233" spans="7:12" ht="13.5">
      <c r="G233" s="51"/>
      <c r="H233" s="51"/>
      <c r="I233" s="51"/>
      <c r="J233" s="51"/>
      <c r="K233" s="51"/>
      <c r="L233" s="51"/>
    </row>
    <row r="234" spans="7:12" ht="13.5">
      <c r="G234" s="51"/>
      <c r="H234" s="51"/>
      <c r="I234" s="51"/>
      <c r="J234" s="51"/>
      <c r="K234" s="51"/>
      <c r="L234" s="51"/>
    </row>
    <row r="235" spans="7:12" ht="13.5">
      <c r="G235" s="51"/>
      <c r="H235" s="51"/>
      <c r="I235" s="51"/>
      <c r="J235" s="51"/>
      <c r="K235" s="51"/>
      <c r="L235" s="51"/>
    </row>
    <row r="236" spans="7:12" ht="13.5">
      <c r="G236" s="51"/>
      <c r="H236" s="51"/>
      <c r="I236" s="51"/>
      <c r="J236" s="51"/>
      <c r="K236" s="51"/>
      <c r="L236" s="51"/>
    </row>
    <row r="237" spans="7:12" ht="13.5">
      <c r="G237" s="51"/>
      <c r="H237" s="51"/>
      <c r="I237" s="51"/>
      <c r="J237" s="51"/>
      <c r="K237" s="51"/>
      <c r="L237" s="51"/>
    </row>
    <row r="238" spans="7:12" ht="13.5">
      <c r="G238" s="51"/>
      <c r="H238" s="51"/>
      <c r="I238" s="51"/>
      <c r="J238" s="51"/>
      <c r="K238" s="51"/>
      <c r="L238" s="51"/>
    </row>
    <row r="239" spans="7:12" ht="13.5">
      <c r="G239" s="51"/>
      <c r="H239" s="51"/>
      <c r="I239" s="51"/>
      <c r="J239" s="51"/>
      <c r="K239" s="51"/>
      <c r="L239" s="51"/>
    </row>
    <row r="240" spans="7:12" ht="13.5">
      <c r="G240" s="51"/>
      <c r="H240" s="51"/>
      <c r="I240" s="51"/>
      <c r="J240" s="51"/>
      <c r="K240" s="51"/>
      <c r="L240" s="51"/>
    </row>
    <row r="241" spans="7:12" ht="13.5">
      <c r="G241" s="51"/>
      <c r="H241" s="51"/>
      <c r="I241" s="51"/>
      <c r="J241" s="51"/>
      <c r="K241" s="51"/>
      <c r="L241" s="51"/>
    </row>
    <row r="242" spans="7:12" ht="13.5">
      <c r="G242" s="51"/>
      <c r="H242" s="51"/>
      <c r="I242" s="51"/>
      <c r="J242" s="51"/>
      <c r="K242" s="51"/>
      <c r="L242" s="51"/>
    </row>
    <row r="243" spans="7:12" ht="13.5">
      <c r="G243" s="51"/>
      <c r="H243" s="51"/>
      <c r="I243" s="51"/>
      <c r="J243" s="51"/>
      <c r="K243" s="51"/>
      <c r="L243" s="51"/>
    </row>
    <row r="244" spans="7:12" ht="13.5">
      <c r="G244" s="51"/>
      <c r="H244" s="51"/>
      <c r="I244" s="51"/>
      <c r="J244" s="51"/>
      <c r="K244" s="51"/>
      <c r="L244" s="51"/>
    </row>
    <row r="245" spans="7:12" ht="13.5">
      <c r="G245" s="51"/>
      <c r="H245" s="51"/>
      <c r="I245" s="51"/>
      <c r="J245" s="51"/>
      <c r="K245" s="51"/>
      <c r="L245" s="51"/>
    </row>
    <row r="246" spans="7:12" ht="13.5">
      <c r="G246" s="51"/>
      <c r="H246" s="51"/>
      <c r="I246" s="51"/>
      <c r="J246" s="51"/>
      <c r="K246" s="51"/>
      <c r="L246" s="51"/>
    </row>
    <row r="247" spans="7:12" ht="13.5">
      <c r="G247" s="51"/>
      <c r="H247" s="51"/>
      <c r="I247" s="51"/>
      <c r="J247" s="51"/>
      <c r="K247" s="51"/>
      <c r="L247" s="51"/>
    </row>
    <row r="248" spans="7:12" ht="13.5">
      <c r="G248" s="51"/>
      <c r="H248" s="51"/>
      <c r="I248" s="51"/>
      <c r="J248" s="51"/>
      <c r="K248" s="51"/>
      <c r="L248" s="51"/>
    </row>
    <row r="249" spans="7:12" ht="13.5">
      <c r="G249" s="51"/>
      <c r="H249" s="51"/>
      <c r="I249" s="51"/>
      <c r="J249" s="51"/>
      <c r="K249" s="51"/>
      <c r="L249" s="51"/>
    </row>
    <row r="250" spans="7:12" ht="13.5">
      <c r="G250" s="51"/>
      <c r="H250" s="51"/>
      <c r="I250" s="51"/>
      <c r="J250" s="51"/>
      <c r="K250" s="51"/>
      <c r="L250" s="51"/>
    </row>
    <row r="251" spans="7:12" ht="13.5">
      <c r="G251" s="51"/>
      <c r="H251" s="51"/>
      <c r="I251" s="51"/>
      <c r="J251" s="51"/>
      <c r="K251" s="51"/>
      <c r="L251" s="51"/>
    </row>
    <row r="252" spans="7:12" ht="13.5">
      <c r="G252" s="51"/>
      <c r="H252" s="51"/>
      <c r="I252" s="51"/>
      <c r="J252" s="51"/>
      <c r="K252" s="51"/>
      <c r="L252" s="51"/>
    </row>
    <row r="253" spans="7:12" ht="13.5">
      <c r="G253" s="51"/>
      <c r="H253" s="51"/>
      <c r="I253" s="51"/>
      <c r="J253" s="51"/>
      <c r="K253" s="51"/>
      <c r="L253" s="51"/>
    </row>
    <row r="254" spans="7:12" ht="13.5">
      <c r="G254" s="51"/>
      <c r="H254" s="51"/>
      <c r="I254" s="51"/>
      <c r="J254" s="51"/>
      <c r="K254" s="51"/>
      <c r="L254" s="51"/>
    </row>
    <row r="255" spans="7:12" ht="13.5">
      <c r="G255" s="51"/>
      <c r="H255" s="51"/>
      <c r="I255" s="51"/>
      <c r="J255" s="51"/>
      <c r="K255" s="51"/>
      <c r="L255" s="51"/>
    </row>
    <row r="256" spans="7:12" ht="13.5">
      <c r="G256" s="51"/>
      <c r="H256" s="51"/>
      <c r="I256" s="51"/>
      <c r="J256" s="51"/>
      <c r="K256" s="51"/>
      <c r="L256" s="51"/>
    </row>
    <row r="257" spans="7:12" ht="13.5">
      <c r="G257" s="51"/>
      <c r="H257" s="51"/>
      <c r="I257" s="51"/>
      <c r="J257" s="51"/>
      <c r="K257" s="51"/>
      <c r="L257" s="51"/>
    </row>
    <row r="258" spans="7:12" ht="13.5">
      <c r="G258" s="51"/>
      <c r="H258" s="51"/>
      <c r="I258" s="51"/>
      <c r="J258" s="51"/>
      <c r="K258" s="51"/>
      <c r="L258" s="51"/>
    </row>
    <row r="259" spans="7:12" ht="13.5">
      <c r="G259" s="51"/>
      <c r="H259" s="51"/>
      <c r="I259" s="51"/>
      <c r="J259" s="51"/>
      <c r="K259" s="51"/>
      <c r="L259" s="51"/>
    </row>
    <row r="260" spans="7:12" ht="13.5">
      <c r="G260" s="51"/>
      <c r="H260" s="51"/>
      <c r="I260" s="51"/>
      <c r="J260" s="51"/>
      <c r="K260" s="51"/>
      <c r="L260" s="51"/>
    </row>
    <row r="261" spans="7:12" ht="13.5">
      <c r="G261" s="51"/>
      <c r="H261" s="51"/>
      <c r="I261" s="51"/>
      <c r="J261" s="51"/>
      <c r="K261" s="51"/>
      <c r="L261" s="51"/>
    </row>
    <row r="262" spans="7:12" ht="13.5">
      <c r="G262" s="51"/>
      <c r="H262" s="51"/>
      <c r="I262" s="51"/>
      <c r="J262" s="51"/>
      <c r="K262" s="51"/>
      <c r="L262" s="51"/>
    </row>
    <row r="263" spans="7:12" ht="13.5">
      <c r="G263" s="51"/>
      <c r="H263" s="51"/>
      <c r="I263" s="51"/>
      <c r="J263" s="51"/>
      <c r="K263" s="51"/>
      <c r="L263" s="51"/>
    </row>
    <row r="264" spans="7:12" ht="13.5">
      <c r="G264" s="51"/>
      <c r="H264" s="51"/>
      <c r="I264" s="51"/>
      <c r="J264" s="51"/>
      <c r="K264" s="51"/>
      <c r="L264" s="51"/>
    </row>
    <row r="265" spans="7:12" ht="13.5">
      <c r="G265" s="51"/>
      <c r="H265" s="51"/>
      <c r="I265" s="51"/>
      <c r="J265" s="51"/>
      <c r="K265" s="51"/>
      <c r="L265" s="51"/>
    </row>
    <row r="266" spans="7:12" ht="13.5">
      <c r="G266" s="51"/>
      <c r="H266" s="51"/>
      <c r="I266" s="51"/>
      <c r="J266" s="51"/>
      <c r="K266" s="51"/>
      <c r="L266" s="51"/>
    </row>
    <row r="267" spans="7:12" ht="13.5">
      <c r="G267" s="51"/>
      <c r="H267" s="51"/>
      <c r="I267" s="51"/>
      <c r="J267" s="51"/>
      <c r="K267" s="51"/>
      <c r="L267" s="51"/>
    </row>
    <row r="268" spans="7:12" ht="13.5">
      <c r="G268" s="51"/>
      <c r="H268" s="51"/>
      <c r="I268" s="51"/>
      <c r="J268" s="51"/>
      <c r="K268" s="51"/>
      <c r="L268" s="51"/>
    </row>
    <row r="269" spans="7:12" ht="13.5">
      <c r="G269" s="51"/>
      <c r="H269" s="51"/>
      <c r="I269" s="51"/>
      <c r="J269" s="51"/>
      <c r="K269" s="51"/>
      <c r="L269" s="51"/>
    </row>
    <row r="270" spans="7:12" ht="13.5">
      <c r="G270" s="51"/>
      <c r="H270" s="51"/>
      <c r="I270" s="51"/>
      <c r="J270" s="51"/>
      <c r="K270" s="51"/>
      <c r="L270" s="51"/>
    </row>
    <row r="271" spans="7:12" ht="13.5">
      <c r="G271" s="51"/>
      <c r="H271" s="51"/>
      <c r="I271" s="51"/>
      <c r="J271" s="51"/>
      <c r="K271" s="51"/>
      <c r="L271" s="51"/>
    </row>
    <row r="272" spans="7:12" ht="13.5">
      <c r="G272" s="51"/>
      <c r="H272" s="51"/>
      <c r="I272" s="51"/>
      <c r="J272" s="51"/>
      <c r="K272" s="51"/>
      <c r="L272" s="51"/>
    </row>
    <row r="273" spans="7:12" ht="13.5">
      <c r="G273" s="51"/>
      <c r="H273" s="51"/>
      <c r="I273" s="51"/>
      <c r="J273" s="51"/>
      <c r="K273" s="51"/>
      <c r="L273" s="51"/>
    </row>
    <row r="274" spans="7:12" ht="13.5">
      <c r="G274" s="51"/>
      <c r="H274" s="51"/>
      <c r="I274" s="51"/>
      <c r="J274" s="51"/>
      <c r="K274" s="51"/>
      <c r="L274" s="51"/>
    </row>
    <row r="275" spans="7:12" ht="13.5">
      <c r="G275" s="51"/>
      <c r="H275" s="51"/>
      <c r="I275" s="51"/>
      <c r="J275" s="51"/>
      <c r="K275" s="51"/>
      <c r="L275" s="51"/>
    </row>
    <row r="276" spans="7:12" ht="13.5">
      <c r="G276" s="51"/>
      <c r="H276" s="51"/>
      <c r="I276" s="51"/>
      <c r="J276" s="51"/>
      <c r="K276" s="51"/>
      <c r="L276" s="51"/>
    </row>
    <row r="277" spans="7:12" ht="13.5">
      <c r="G277" s="51"/>
      <c r="H277" s="51"/>
      <c r="I277" s="51"/>
      <c r="J277" s="51"/>
      <c r="K277" s="51"/>
      <c r="L277" s="51"/>
    </row>
    <row r="278" spans="7:12" ht="13.5">
      <c r="G278" s="51"/>
      <c r="H278" s="51"/>
      <c r="I278" s="51"/>
      <c r="J278" s="51"/>
      <c r="K278" s="51"/>
      <c r="L278" s="51"/>
    </row>
    <row r="279" spans="7:12" ht="13.5">
      <c r="G279" s="51"/>
      <c r="H279" s="51"/>
      <c r="I279" s="51"/>
      <c r="J279" s="51"/>
      <c r="K279" s="51"/>
      <c r="L279" s="51"/>
    </row>
    <row r="280" spans="7:12" ht="13.5">
      <c r="G280" s="51"/>
      <c r="H280" s="51"/>
      <c r="I280" s="51"/>
      <c r="J280" s="51"/>
      <c r="K280" s="51"/>
      <c r="L280" s="51"/>
    </row>
    <row r="281" spans="7:12" ht="13.5">
      <c r="G281" s="51"/>
      <c r="H281" s="51"/>
      <c r="I281" s="51"/>
      <c r="J281" s="51"/>
      <c r="K281" s="51"/>
      <c r="L281" s="51"/>
    </row>
    <row r="282" spans="7:12" ht="13.5">
      <c r="G282" s="51"/>
      <c r="H282" s="51"/>
      <c r="I282" s="51"/>
      <c r="J282" s="51"/>
      <c r="K282" s="51"/>
      <c r="L282" s="51"/>
    </row>
    <row r="283" spans="7:12" ht="13.5">
      <c r="G283" s="51"/>
      <c r="H283" s="51"/>
      <c r="I283" s="51"/>
      <c r="J283" s="51"/>
      <c r="K283" s="51"/>
      <c r="L283" s="51"/>
    </row>
    <row r="284" spans="7:12" ht="13.5">
      <c r="G284" s="51"/>
      <c r="H284" s="51"/>
      <c r="I284" s="51"/>
      <c r="J284" s="51"/>
      <c r="K284" s="51"/>
      <c r="L284" s="51"/>
    </row>
    <row r="285" spans="7:12" ht="13.5">
      <c r="G285" s="51"/>
      <c r="H285" s="51"/>
      <c r="I285" s="51"/>
      <c r="J285" s="51"/>
      <c r="K285" s="51"/>
      <c r="L285" s="51"/>
    </row>
    <row r="286" spans="7:12" ht="13.5">
      <c r="G286" s="51"/>
      <c r="H286" s="51"/>
      <c r="I286" s="51"/>
      <c r="J286" s="51"/>
      <c r="K286" s="51"/>
      <c r="L286" s="51"/>
    </row>
    <row r="287" spans="7:12" ht="13.5">
      <c r="G287" s="51"/>
      <c r="H287" s="51"/>
      <c r="I287" s="51"/>
      <c r="J287" s="51"/>
      <c r="K287" s="51"/>
      <c r="L287" s="51"/>
    </row>
    <row r="288" spans="7:12" ht="13.5">
      <c r="G288" s="51"/>
      <c r="H288" s="51"/>
      <c r="I288" s="51"/>
      <c r="J288" s="51"/>
      <c r="K288" s="51"/>
      <c r="L288" s="51"/>
    </row>
    <row r="289" spans="7:12" ht="13.5">
      <c r="G289" s="51"/>
      <c r="H289" s="51"/>
      <c r="I289" s="51"/>
      <c r="J289" s="51"/>
      <c r="K289" s="51"/>
      <c r="L289" s="51"/>
    </row>
    <row r="290" spans="7:12" ht="13.5">
      <c r="G290" s="51"/>
      <c r="H290" s="51"/>
      <c r="I290" s="51"/>
      <c r="J290" s="51"/>
      <c r="K290" s="51"/>
      <c r="L290" s="51"/>
    </row>
    <row r="291" spans="7:12" ht="13.5">
      <c r="G291" s="51"/>
      <c r="H291" s="51"/>
      <c r="I291" s="51"/>
      <c r="J291" s="51"/>
      <c r="K291" s="51"/>
      <c r="L291" s="51"/>
    </row>
    <row r="292" spans="7:12" ht="13.5">
      <c r="G292" s="51"/>
      <c r="H292" s="51"/>
      <c r="I292" s="51"/>
      <c r="J292" s="51"/>
      <c r="K292" s="51"/>
      <c r="L292" s="51"/>
    </row>
    <row r="293" spans="7:12" ht="13.5">
      <c r="G293" s="51"/>
      <c r="H293" s="51"/>
      <c r="I293" s="51"/>
      <c r="J293" s="51"/>
      <c r="K293" s="51"/>
      <c r="L293" s="51"/>
    </row>
    <row r="294" spans="7:12" ht="13.5">
      <c r="G294" s="51"/>
      <c r="H294" s="51"/>
      <c r="I294" s="51"/>
      <c r="J294" s="51"/>
      <c r="K294" s="51"/>
      <c r="L294" s="51"/>
    </row>
    <row r="295" spans="7:12" ht="13.5">
      <c r="G295" s="51"/>
      <c r="H295" s="51"/>
      <c r="I295" s="51"/>
      <c r="J295" s="51"/>
      <c r="K295" s="51"/>
      <c r="L295" s="51"/>
    </row>
    <row r="296" spans="7:12" ht="13.5">
      <c r="G296" s="51"/>
      <c r="H296" s="51"/>
      <c r="I296" s="51"/>
      <c r="J296" s="51"/>
      <c r="K296" s="51"/>
      <c r="L296" s="51"/>
    </row>
    <row r="297" spans="7:12" ht="13.5">
      <c r="G297" s="51"/>
      <c r="H297" s="51"/>
      <c r="I297" s="51"/>
      <c r="J297" s="51"/>
      <c r="K297" s="51"/>
      <c r="L297" s="51"/>
    </row>
    <row r="298" spans="7:12" ht="13.5">
      <c r="G298" s="51"/>
      <c r="H298" s="51"/>
      <c r="I298" s="51"/>
      <c r="J298" s="51"/>
      <c r="K298" s="51"/>
      <c r="L298" s="51"/>
    </row>
    <row r="299" spans="7:12" ht="13.5">
      <c r="G299" s="51"/>
      <c r="H299" s="51"/>
      <c r="I299" s="51"/>
      <c r="J299" s="51"/>
      <c r="K299" s="51"/>
      <c r="L299" s="51"/>
    </row>
    <row r="300" spans="7:12" ht="13.5">
      <c r="G300" s="51"/>
      <c r="H300" s="51"/>
      <c r="I300" s="51"/>
      <c r="J300" s="51"/>
      <c r="K300" s="51"/>
      <c r="L300" s="51"/>
    </row>
    <row r="301" spans="7:12" ht="13.5">
      <c r="G301" s="51"/>
      <c r="H301" s="51"/>
      <c r="I301" s="51"/>
      <c r="J301" s="51"/>
      <c r="K301" s="51"/>
      <c r="L301" s="51"/>
    </row>
    <row r="302" spans="7:12" ht="13.5">
      <c r="G302" s="51"/>
      <c r="H302" s="51"/>
      <c r="I302" s="51"/>
      <c r="J302" s="51"/>
      <c r="K302" s="51"/>
      <c r="L302" s="51"/>
    </row>
    <row r="303" spans="7:12" ht="13.5">
      <c r="G303" s="51"/>
      <c r="H303" s="51"/>
      <c r="I303" s="51"/>
      <c r="J303" s="51"/>
      <c r="K303" s="51"/>
      <c r="L303" s="51"/>
    </row>
    <row r="304" spans="7:12" ht="13.5">
      <c r="G304" s="51"/>
      <c r="H304" s="51"/>
      <c r="I304" s="51"/>
      <c r="J304" s="51"/>
      <c r="K304" s="51"/>
      <c r="L304" s="51"/>
    </row>
    <row r="305" spans="7:12" ht="13.5">
      <c r="G305" s="51"/>
      <c r="H305" s="51"/>
      <c r="I305" s="51"/>
      <c r="J305" s="51"/>
      <c r="K305" s="51"/>
      <c r="L305" s="51"/>
    </row>
    <row r="306" spans="7:12" ht="13.5">
      <c r="G306" s="51"/>
      <c r="H306" s="51"/>
      <c r="I306" s="51"/>
      <c r="J306" s="51"/>
      <c r="K306" s="51"/>
      <c r="L306" s="51"/>
    </row>
    <row r="307" spans="7:12" ht="13.5">
      <c r="G307" s="51"/>
      <c r="H307" s="51"/>
      <c r="I307" s="51"/>
      <c r="J307" s="51"/>
      <c r="K307" s="51"/>
      <c r="L307" s="51"/>
    </row>
    <row r="308" spans="7:12" ht="13.5">
      <c r="G308" s="51"/>
      <c r="H308" s="51"/>
      <c r="I308" s="51"/>
      <c r="J308" s="51"/>
      <c r="K308" s="51"/>
      <c r="L308" s="51"/>
    </row>
    <row r="309" spans="7:12" ht="13.5">
      <c r="G309" s="51"/>
      <c r="H309" s="51"/>
      <c r="I309" s="51"/>
      <c r="J309" s="51"/>
      <c r="K309" s="51"/>
      <c r="L309" s="51"/>
    </row>
    <row r="310" spans="7:12" ht="13.5">
      <c r="G310" s="51"/>
      <c r="H310" s="51"/>
      <c r="I310" s="51"/>
      <c r="J310" s="51"/>
      <c r="K310" s="51"/>
      <c r="L310" s="51"/>
    </row>
    <row r="311" spans="7:12" ht="13.5">
      <c r="G311" s="51"/>
      <c r="H311" s="51"/>
      <c r="I311" s="51"/>
      <c r="J311" s="51"/>
      <c r="K311" s="51"/>
      <c r="L311" s="51"/>
    </row>
    <row r="312" spans="7:12" ht="13.5">
      <c r="G312" s="51"/>
      <c r="H312" s="51"/>
      <c r="I312" s="51"/>
      <c r="J312" s="51"/>
      <c r="K312" s="51"/>
      <c r="L312" s="51"/>
    </row>
    <row r="313" spans="7:12" ht="13.5">
      <c r="G313" s="51"/>
      <c r="H313" s="51"/>
      <c r="I313" s="51"/>
      <c r="J313" s="51"/>
      <c r="K313" s="51"/>
      <c r="L313" s="51"/>
    </row>
    <row r="314" spans="7:12" ht="13.5">
      <c r="G314" s="51"/>
      <c r="H314" s="51"/>
      <c r="I314" s="51"/>
      <c r="J314" s="51"/>
      <c r="K314" s="51"/>
      <c r="L314" s="51"/>
    </row>
    <row r="315" spans="7:12" ht="13.5">
      <c r="G315" s="51"/>
      <c r="H315" s="51"/>
      <c r="I315" s="51"/>
      <c r="J315" s="51"/>
      <c r="K315" s="51"/>
      <c r="L315" s="51"/>
    </row>
    <row r="316" spans="7:12" ht="13.5">
      <c r="G316" s="51"/>
      <c r="H316" s="51"/>
      <c r="I316" s="51"/>
      <c r="J316" s="51"/>
      <c r="K316" s="51"/>
      <c r="L316" s="51"/>
    </row>
    <row r="317" spans="7:12" ht="13.5">
      <c r="G317" s="51"/>
      <c r="H317" s="51"/>
      <c r="I317" s="51"/>
      <c r="J317" s="51"/>
      <c r="K317" s="51"/>
      <c r="L317" s="51"/>
    </row>
    <row r="318" spans="7:12" ht="13.5">
      <c r="G318" s="51"/>
      <c r="H318" s="51"/>
      <c r="I318" s="51"/>
      <c r="J318" s="51"/>
      <c r="K318" s="51"/>
      <c r="L318" s="51"/>
    </row>
    <row r="319" spans="7:12" ht="13.5">
      <c r="G319" s="51"/>
      <c r="H319" s="51"/>
      <c r="I319" s="51"/>
      <c r="J319" s="51"/>
      <c r="K319" s="51"/>
      <c r="L319" s="51"/>
    </row>
    <row r="320" spans="7:12" ht="13.5">
      <c r="G320" s="51"/>
      <c r="H320" s="51"/>
      <c r="I320" s="51"/>
      <c r="J320" s="51"/>
      <c r="K320" s="51"/>
      <c r="L320" s="51"/>
    </row>
    <row r="321" spans="7:12" ht="13.5">
      <c r="G321" s="51"/>
      <c r="H321" s="51"/>
      <c r="I321" s="51"/>
      <c r="J321" s="51"/>
      <c r="K321" s="51"/>
      <c r="L321" s="51"/>
    </row>
    <row r="322" spans="7:12" ht="13.5">
      <c r="G322" s="51"/>
      <c r="H322" s="51"/>
      <c r="I322" s="51"/>
      <c r="J322" s="51"/>
      <c r="K322" s="51"/>
      <c r="L322" s="51"/>
    </row>
    <row r="323" spans="7:12" ht="13.5">
      <c r="G323" s="51"/>
      <c r="H323" s="51"/>
      <c r="I323" s="51"/>
      <c r="J323" s="51"/>
      <c r="K323" s="51"/>
      <c r="L323" s="51"/>
    </row>
    <row r="324" spans="7:12" ht="13.5">
      <c r="G324" s="51"/>
      <c r="H324" s="51"/>
      <c r="I324" s="51"/>
      <c r="J324" s="51"/>
      <c r="K324" s="51"/>
      <c r="L324" s="51"/>
    </row>
    <row r="325" spans="7:12" ht="13.5">
      <c r="G325" s="51"/>
      <c r="H325" s="51"/>
      <c r="I325" s="51"/>
      <c r="J325" s="51"/>
      <c r="K325" s="51"/>
      <c r="L325" s="51"/>
    </row>
    <row r="326" spans="7:12" ht="13.5">
      <c r="G326" s="51"/>
      <c r="H326" s="51"/>
      <c r="I326" s="51"/>
      <c r="J326" s="51"/>
      <c r="K326" s="51"/>
      <c r="L326" s="51"/>
    </row>
    <row r="327" spans="7:12" ht="13.5">
      <c r="G327" s="51"/>
      <c r="H327" s="51"/>
      <c r="I327" s="51"/>
      <c r="J327" s="51"/>
      <c r="K327" s="51"/>
      <c r="L327" s="51"/>
    </row>
    <row r="328" spans="7:12" ht="13.5">
      <c r="G328" s="51"/>
      <c r="H328" s="51"/>
      <c r="I328" s="51"/>
      <c r="J328" s="51"/>
      <c r="K328" s="51"/>
      <c r="L328" s="51"/>
    </row>
    <row r="329" spans="7:12" ht="13.5">
      <c r="G329" s="51"/>
      <c r="H329" s="51"/>
      <c r="I329" s="51"/>
      <c r="J329" s="51"/>
      <c r="K329" s="51"/>
      <c r="L329" s="51"/>
    </row>
    <row r="330" spans="7:12" ht="13.5">
      <c r="G330" s="51"/>
      <c r="H330" s="51"/>
      <c r="I330" s="51"/>
      <c r="J330" s="51"/>
      <c r="K330" s="51"/>
      <c r="L330" s="51"/>
    </row>
    <row r="331" spans="7:12" ht="13.5">
      <c r="G331" s="51"/>
      <c r="H331" s="51"/>
      <c r="I331" s="51"/>
      <c r="J331" s="51"/>
      <c r="K331" s="51"/>
      <c r="L331" s="51"/>
    </row>
    <row r="332" spans="7:12" ht="13.5">
      <c r="G332" s="51"/>
      <c r="H332" s="51"/>
      <c r="I332" s="51"/>
      <c r="J332" s="51"/>
      <c r="K332" s="51"/>
      <c r="L332" s="51"/>
    </row>
    <row r="333" spans="7:12" ht="13.5">
      <c r="G333" s="51"/>
      <c r="H333" s="51"/>
      <c r="I333" s="51"/>
      <c r="J333" s="51"/>
      <c r="K333" s="51"/>
      <c r="L333" s="51"/>
    </row>
    <row r="334" spans="7:12" ht="13.5">
      <c r="G334" s="51"/>
      <c r="H334" s="51"/>
      <c r="I334" s="51"/>
      <c r="J334" s="51"/>
      <c r="K334" s="51"/>
      <c r="L334" s="51"/>
    </row>
    <row r="335" spans="7:12" ht="13.5">
      <c r="G335" s="51"/>
      <c r="H335" s="51"/>
      <c r="I335" s="51"/>
      <c r="J335" s="51"/>
      <c r="K335" s="51"/>
      <c r="L335" s="51"/>
    </row>
    <row r="336" spans="7:12" ht="13.5">
      <c r="G336" s="51"/>
      <c r="H336" s="51"/>
      <c r="I336" s="51"/>
      <c r="J336" s="51"/>
      <c r="K336" s="51"/>
      <c r="L336" s="51"/>
    </row>
    <row r="337" spans="7:12" ht="13.5">
      <c r="G337" s="51"/>
      <c r="H337" s="51"/>
      <c r="I337" s="51"/>
      <c r="J337" s="51"/>
      <c r="K337" s="51"/>
      <c r="L337" s="51"/>
    </row>
    <row r="338" spans="7:12" ht="13.5">
      <c r="G338" s="51"/>
      <c r="H338" s="51"/>
      <c r="I338" s="51"/>
      <c r="J338" s="51"/>
      <c r="K338" s="51"/>
      <c r="L338" s="51"/>
    </row>
    <row r="339" spans="7:12" ht="13.5">
      <c r="G339" s="51"/>
      <c r="H339" s="51"/>
      <c r="I339" s="51"/>
      <c r="J339" s="51"/>
      <c r="K339" s="51"/>
      <c r="L339" s="51"/>
    </row>
    <row r="340" spans="7:12" ht="13.5">
      <c r="G340" s="51"/>
      <c r="H340" s="51"/>
      <c r="I340" s="51"/>
      <c r="J340" s="51"/>
      <c r="K340" s="51"/>
      <c r="L340" s="51"/>
    </row>
    <row r="341" spans="7:12" ht="13.5">
      <c r="G341" s="51"/>
      <c r="H341" s="51"/>
      <c r="I341" s="51"/>
      <c r="J341" s="51"/>
      <c r="K341" s="51"/>
      <c r="L341" s="51"/>
    </row>
    <row r="342" spans="7:12" ht="13.5">
      <c r="G342" s="51"/>
      <c r="H342" s="51"/>
      <c r="I342" s="51"/>
      <c r="J342" s="51"/>
      <c r="K342" s="51"/>
      <c r="L342" s="51"/>
    </row>
    <row r="343" spans="7:12" ht="13.5">
      <c r="G343" s="51"/>
      <c r="H343" s="51"/>
      <c r="I343" s="51"/>
      <c r="J343" s="51"/>
      <c r="K343" s="51"/>
      <c r="L343" s="51"/>
    </row>
    <row r="344" spans="7:12" ht="13.5">
      <c r="G344" s="51"/>
      <c r="H344" s="51"/>
      <c r="I344" s="51"/>
      <c r="J344" s="51"/>
      <c r="K344" s="51"/>
      <c r="L344" s="51"/>
    </row>
    <row r="345" spans="7:12" ht="13.5">
      <c r="G345" s="51"/>
      <c r="H345" s="51"/>
      <c r="I345" s="51"/>
      <c r="J345" s="51"/>
      <c r="K345" s="51"/>
      <c r="L345" s="51"/>
    </row>
    <row r="346" spans="7:12" ht="13.5">
      <c r="G346" s="51"/>
      <c r="H346" s="51"/>
      <c r="I346" s="51"/>
      <c r="J346" s="51"/>
      <c r="K346" s="51"/>
      <c r="L346" s="51"/>
    </row>
    <row r="347" spans="7:12" ht="13.5">
      <c r="G347" s="51"/>
      <c r="H347" s="51"/>
      <c r="I347" s="51"/>
      <c r="J347" s="51"/>
      <c r="K347" s="51"/>
      <c r="L347" s="51"/>
    </row>
    <row r="348" spans="7:12" ht="13.5">
      <c r="G348" s="51"/>
      <c r="H348" s="51"/>
      <c r="I348" s="51"/>
      <c r="J348" s="51"/>
      <c r="K348" s="51"/>
      <c r="L348" s="51"/>
    </row>
    <row r="349" spans="7:12" ht="13.5">
      <c r="G349" s="51"/>
      <c r="H349" s="51"/>
      <c r="I349" s="51"/>
      <c r="J349" s="51"/>
      <c r="K349" s="51"/>
      <c r="L349" s="51"/>
    </row>
    <row r="350" spans="7:12" ht="13.5">
      <c r="G350" s="51"/>
      <c r="H350" s="51"/>
      <c r="I350" s="51"/>
      <c r="J350" s="51"/>
      <c r="K350" s="51"/>
      <c r="L350" s="51"/>
    </row>
    <row r="351" spans="7:12" ht="13.5">
      <c r="G351" s="51"/>
      <c r="H351" s="51"/>
      <c r="I351" s="51"/>
      <c r="J351" s="51"/>
      <c r="K351" s="51"/>
      <c r="L351" s="51"/>
    </row>
    <row r="352" spans="7:12" ht="13.5">
      <c r="G352" s="51"/>
      <c r="H352" s="51"/>
      <c r="I352" s="51"/>
      <c r="J352" s="51"/>
      <c r="K352" s="51"/>
      <c r="L352" s="51"/>
    </row>
    <row r="353" spans="7:12" ht="13.5">
      <c r="G353" s="51"/>
      <c r="H353" s="51"/>
      <c r="I353" s="51"/>
      <c r="J353" s="51"/>
      <c r="K353" s="51"/>
      <c r="L353" s="51"/>
    </row>
    <row r="354" spans="7:12" ht="13.5">
      <c r="G354" s="51"/>
      <c r="H354" s="51"/>
      <c r="I354" s="51"/>
      <c r="J354" s="51"/>
      <c r="K354" s="51"/>
      <c r="L354" s="51"/>
    </row>
    <row r="355" spans="7:12" ht="13.5">
      <c r="G355" s="51"/>
      <c r="H355" s="51"/>
      <c r="I355" s="51"/>
      <c r="J355" s="51"/>
      <c r="K355" s="51"/>
      <c r="L355" s="51"/>
    </row>
    <row r="356" spans="7:12" ht="13.5">
      <c r="G356" s="51"/>
      <c r="H356" s="51"/>
      <c r="I356" s="51"/>
      <c r="J356" s="51"/>
      <c r="K356" s="51"/>
      <c r="L356" s="51"/>
    </row>
    <row r="357" spans="7:12" ht="13.5">
      <c r="G357" s="51"/>
      <c r="H357" s="51"/>
      <c r="I357" s="51"/>
      <c r="J357" s="51"/>
      <c r="K357" s="51"/>
      <c r="L357" s="51"/>
    </row>
    <row r="358" spans="7:12" ht="13.5">
      <c r="G358" s="51"/>
      <c r="H358" s="51"/>
      <c r="I358" s="51"/>
      <c r="J358" s="51"/>
      <c r="K358" s="51"/>
      <c r="L358" s="51"/>
    </row>
    <row r="359" spans="7:12" ht="13.5">
      <c r="G359" s="51"/>
      <c r="H359" s="51"/>
      <c r="I359" s="51"/>
      <c r="J359" s="51"/>
      <c r="K359" s="51"/>
      <c r="L359" s="51"/>
    </row>
    <row r="360" spans="7:12" ht="13.5">
      <c r="G360" s="51"/>
      <c r="H360" s="51"/>
      <c r="I360" s="51"/>
      <c r="J360" s="51"/>
      <c r="K360" s="51"/>
      <c r="L360" s="51"/>
    </row>
    <row r="361" spans="7:12" ht="13.5">
      <c r="G361" s="51"/>
      <c r="H361" s="51"/>
      <c r="I361" s="51"/>
      <c r="J361" s="51"/>
      <c r="K361" s="51"/>
      <c r="L361" s="51"/>
    </row>
    <row r="362" spans="7:12" ht="13.5">
      <c r="G362" s="51"/>
      <c r="H362" s="51"/>
      <c r="I362" s="51"/>
      <c r="J362" s="51"/>
      <c r="K362" s="51"/>
      <c r="L362" s="51"/>
    </row>
    <row r="363" spans="7:12" ht="13.5">
      <c r="G363" s="51"/>
      <c r="H363" s="51"/>
      <c r="I363" s="51"/>
      <c r="J363" s="51"/>
      <c r="K363" s="51"/>
      <c r="L363" s="51"/>
    </row>
    <row r="364" spans="7:12" ht="13.5">
      <c r="G364" s="51"/>
      <c r="H364" s="51"/>
      <c r="I364" s="51"/>
      <c r="J364" s="51"/>
      <c r="K364" s="51"/>
      <c r="L364" s="51"/>
    </row>
    <row r="365" spans="7:12" ht="13.5">
      <c r="G365" s="51"/>
      <c r="H365" s="51"/>
      <c r="I365" s="51"/>
      <c r="J365" s="51"/>
      <c r="K365" s="51"/>
      <c r="L365" s="51"/>
    </row>
    <row r="366" spans="7:12" ht="13.5">
      <c r="G366" s="51"/>
      <c r="H366" s="51"/>
      <c r="I366" s="51"/>
      <c r="J366" s="51"/>
      <c r="K366" s="51"/>
      <c r="L366" s="51"/>
    </row>
    <row r="367" spans="7:12" ht="13.5">
      <c r="G367" s="51"/>
      <c r="H367" s="51"/>
      <c r="I367" s="51"/>
      <c r="J367" s="51"/>
      <c r="K367" s="51"/>
      <c r="L367" s="51"/>
    </row>
    <row r="368" spans="7:12" ht="13.5">
      <c r="G368" s="51"/>
      <c r="H368" s="51"/>
      <c r="I368" s="51"/>
      <c r="J368" s="51"/>
      <c r="K368" s="51"/>
      <c r="L368" s="51"/>
    </row>
    <row r="369" spans="7:12" ht="13.5">
      <c r="G369" s="51"/>
      <c r="H369" s="51"/>
      <c r="I369" s="51"/>
      <c r="J369" s="51"/>
      <c r="K369" s="51"/>
      <c r="L369" s="51"/>
    </row>
    <row r="370" spans="7:12" ht="13.5">
      <c r="G370" s="51"/>
      <c r="H370" s="51"/>
      <c r="I370" s="51"/>
      <c r="J370" s="51"/>
      <c r="K370" s="51"/>
      <c r="L370" s="51"/>
    </row>
    <row r="371" spans="7:12" ht="13.5">
      <c r="G371" s="51"/>
      <c r="H371" s="51"/>
      <c r="I371" s="51"/>
      <c r="J371" s="51"/>
      <c r="K371" s="51"/>
      <c r="L371" s="51"/>
    </row>
    <row r="372" spans="7:12" ht="13.5">
      <c r="G372" s="51"/>
      <c r="H372" s="51"/>
      <c r="I372" s="51"/>
      <c r="J372" s="51"/>
      <c r="K372" s="51"/>
      <c r="L372" s="51"/>
    </row>
    <row r="373" spans="7:12" ht="13.5">
      <c r="G373" s="51"/>
      <c r="H373" s="51"/>
      <c r="I373" s="51"/>
      <c r="J373" s="51"/>
      <c r="K373" s="51"/>
      <c r="L373" s="51"/>
    </row>
    <row r="374" spans="7:12" ht="13.5">
      <c r="G374" s="51"/>
      <c r="H374" s="51"/>
      <c r="I374" s="51"/>
      <c r="J374" s="51"/>
      <c r="K374" s="51"/>
      <c r="L374" s="51"/>
    </row>
    <row r="375" spans="7:12" ht="13.5">
      <c r="G375" s="51"/>
      <c r="H375" s="51"/>
      <c r="I375" s="51"/>
      <c r="J375" s="51"/>
      <c r="K375" s="51"/>
      <c r="L375" s="51"/>
    </row>
    <row r="376" spans="7:12" ht="13.5">
      <c r="G376" s="51"/>
      <c r="H376" s="51"/>
      <c r="I376" s="51"/>
      <c r="J376" s="51"/>
      <c r="K376" s="51"/>
      <c r="L376" s="51"/>
    </row>
    <row r="377" spans="7:12" ht="13.5">
      <c r="G377" s="51"/>
      <c r="H377" s="51"/>
      <c r="I377" s="51"/>
      <c r="J377" s="51"/>
      <c r="K377" s="51"/>
      <c r="L377" s="51"/>
    </row>
    <row r="378" spans="7:12" ht="13.5">
      <c r="G378" s="51"/>
      <c r="H378" s="51"/>
      <c r="I378" s="51"/>
      <c r="J378" s="51"/>
      <c r="K378" s="51"/>
      <c r="L378" s="51"/>
    </row>
    <row r="379" spans="7:12" ht="13.5">
      <c r="G379" s="51"/>
      <c r="H379" s="51"/>
      <c r="I379" s="51"/>
      <c r="J379" s="51"/>
      <c r="K379" s="51"/>
      <c r="L379" s="51"/>
    </row>
    <row r="380" spans="7:12" ht="13.5">
      <c r="G380" s="51"/>
      <c r="H380" s="51"/>
      <c r="I380" s="51"/>
      <c r="J380" s="51"/>
      <c r="K380" s="51"/>
      <c r="L380" s="51"/>
    </row>
    <row r="381" spans="7:12" ht="13.5">
      <c r="G381" s="51"/>
      <c r="H381" s="51"/>
      <c r="I381" s="51"/>
      <c r="J381" s="51"/>
      <c r="K381" s="51"/>
      <c r="L381" s="51"/>
    </row>
    <row r="382" spans="7:12" ht="13.5">
      <c r="G382" s="51"/>
      <c r="H382" s="51"/>
      <c r="I382" s="51"/>
      <c r="J382" s="51"/>
      <c r="K382" s="51"/>
      <c r="L382" s="51"/>
    </row>
    <row r="383" spans="7:12" ht="13.5">
      <c r="G383" s="51"/>
      <c r="H383" s="51"/>
      <c r="I383" s="51"/>
      <c r="J383" s="51"/>
      <c r="K383" s="51"/>
      <c r="L383" s="51"/>
    </row>
    <row r="384" spans="7:12" ht="13.5">
      <c r="G384" s="51"/>
      <c r="H384" s="51"/>
      <c r="I384" s="51"/>
      <c r="J384" s="51"/>
      <c r="K384" s="51"/>
      <c r="L384" s="51"/>
    </row>
    <row r="385" spans="7:12" ht="13.5">
      <c r="G385" s="51"/>
      <c r="H385" s="51"/>
      <c r="I385" s="51"/>
      <c r="J385" s="51"/>
      <c r="K385" s="51"/>
      <c r="L385" s="51"/>
    </row>
    <row r="386" spans="7:12" ht="13.5">
      <c r="G386" s="51"/>
      <c r="H386" s="51"/>
      <c r="I386" s="51"/>
      <c r="J386" s="51"/>
      <c r="K386" s="51"/>
      <c r="L386" s="51"/>
    </row>
    <row r="387" spans="7:12" ht="13.5">
      <c r="G387" s="51"/>
      <c r="H387" s="51"/>
      <c r="I387" s="51"/>
      <c r="J387" s="51"/>
      <c r="K387" s="51"/>
      <c r="L387" s="51"/>
    </row>
    <row r="388" spans="7:12" ht="13.5">
      <c r="G388" s="51"/>
      <c r="H388" s="51"/>
      <c r="I388" s="51"/>
      <c r="J388" s="51"/>
      <c r="K388" s="51"/>
      <c r="L388" s="51"/>
    </row>
    <row r="389" spans="7:12" ht="13.5">
      <c r="G389" s="51"/>
      <c r="H389" s="51"/>
      <c r="I389" s="51"/>
      <c r="J389" s="51"/>
      <c r="K389" s="51"/>
      <c r="L389" s="51"/>
    </row>
    <row r="390" spans="7:12" ht="13.5">
      <c r="G390" s="51"/>
      <c r="H390" s="51"/>
      <c r="I390" s="51"/>
      <c r="J390" s="51"/>
      <c r="K390" s="51"/>
      <c r="L390" s="51"/>
    </row>
    <row r="391" spans="7:12" ht="13.5">
      <c r="G391" s="51"/>
      <c r="H391" s="51"/>
      <c r="I391" s="51"/>
      <c r="J391" s="51"/>
      <c r="K391" s="51"/>
      <c r="L391" s="51"/>
    </row>
    <row r="392" spans="7:12" ht="13.5">
      <c r="G392" s="51"/>
      <c r="H392" s="51"/>
      <c r="I392" s="51"/>
      <c r="J392" s="51"/>
      <c r="K392" s="51"/>
      <c r="L392" s="51"/>
    </row>
    <row r="393" spans="7:12" ht="13.5">
      <c r="G393" s="51"/>
      <c r="H393" s="51"/>
      <c r="I393" s="51"/>
      <c r="J393" s="51"/>
      <c r="K393" s="51"/>
      <c r="L393" s="51"/>
    </row>
    <row r="394" spans="7:12" ht="13.5">
      <c r="G394" s="51"/>
      <c r="H394" s="51"/>
      <c r="I394" s="51"/>
      <c r="J394" s="51"/>
      <c r="K394" s="51"/>
      <c r="L394" s="51"/>
    </row>
    <row r="395" spans="7:12" ht="13.5">
      <c r="G395" s="51"/>
      <c r="H395" s="51"/>
      <c r="I395" s="51"/>
      <c r="J395" s="51"/>
      <c r="K395" s="51"/>
      <c r="L395" s="51"/>
    </row>
    <row r="396" spans="7:12" ht="13.5">
      <c r="G396" s="51"/>
      <c r="H396" s="51"/>
      <c r="I396" s="51"/>
      <c r="J396" s="51"/>
      <c r="K396" s="51"/>
      <c r="L396" s="51"/>
    </row>
    <row r="397" spans="7:12" ht="13.5">
      <c r="G397" s="51"/>
      <c r="H397" s="51"/>
      <c r="I397" s="51"/>
      <c r="J397" s="51"/>
      <c r="K397" s="51"/>
      <c r="L397" s="51"/>
    </row>
    <row r="398" spans="7:12" ht="13.5">
      <c r="G398" s="51"/>
      <c r="H398" s="51"/>
      <c r="I398" s="51"/>
      <c r="J398" s="51"/>
      <c r="K398" s="51"/>
      <c r="L398" s="51"/>
    </row>
    <row r="399" spans="7:12" ht="13.5">
      <c r="G399" s="51"/>
      <c r="H399" s="51"/>
      <c r="I399" s="51"/>
      <c r="J399" s="51"/>
      <c r="K399" s="51"/>
      <c r="L399" s="51"/>
    </row>
    <row r="400" spans="7:12" ht="13.5">
      <c r="G400" s="51"/>
      <c r="H400" s="51"/>
      <c r="I400" s="51"/>
      <c r="J400" s="51"/>
      <c r="K400" s="51"/>
      <c r="L400" s="51"/>
    </row>
    <row r="401" spans="7:12" ht="13.5">
      <c r="G401" s="51"/>
      <c r="H401" s="51"/>
      <c r="I401" s="51"/>
      <c r="J401" s="51"/>
      <c r="K401" s="51"/>
      <c r="L401" s="51"/>
    </row>
    <row r="402" spans="7:12" ht="13.5">
      <c r="G402" s="51"/>
      <c r="H402" s="51"/>
      <c r="I402" s="51"/>
      <c r="J402" s="51"/>
      <c r="K402" s="51"/>
      <c r="L402" s="51"/>
    </row>
    <row r="403" spans="7:12" ht="13.5">
      <c r="G403" s="51"/>
      <c r="H403" s="51"/>
      <c r="I403" s="51"/>
      <c r="J403" s="51"/>
      <c r="K403" s="51"/>
      <c r="L403" s="51"/>
    </row>
    <row r="404" spans="7:12" ht="13.5">
      <c r="G404" s="51"/>
      <c r="H404" s="51"/>
      <c r="I404" s="51"/>
      <c r="J404" s="51"/>
      <c r="K404" s="51"/>
      <c r="L404" s="51"/>
    </row>
    <row r="405" spans="7:12" ht="13.5">
      <c r="G405" s="51"/>
      <c r="H405" s="51"/>
      <c r="I405" s="51"/>
      <c r="J405" s="51"/>
      <c r="K405" s="51"/>
      <c r="L405" s="51"/>
    </row>
    <row r="406" spans="7:12" ht="13.5">
      <c r="G406" s="51"/>
      <c r="H406" s="51"/>
      <c r="I406" s="51"/>
      <c r="J406" s="51"/>
      <c r="K406" s="51"/>
      <c r="L406" s="51"/>
    </row>
    <row r="407" spans="7:12" ht="13.5">
      <c r="G407" s="51"/>
      <c r="H407" s="51"/>
      <c r="I407" s="51"/>
      <c r="J407" s="51"/>
      <c r="K407" s="51"/>
      <c r="L407" s="51"/>
    </row>
    <row r="408" spans="7:12" ht="13.5">
      <c r="G408" s="51"/>
      <c r="H408" s="51"/>
      <c r="I408" s="51"/>
      <c r="J408" s="51"/>
      <c r="K408" s="51"/>
      <c r="L408" s="51"/>
    </row>
    <row r="409" spans="7:12" ht="13.5">
      <c r="G409" s="51"/>
      <c r="H409" s="51"/>
      <c r="I409" s="51"/>
      <c r="J409" s="51"/>
      <c r="K409" s="51"/>
      <c r="L409" s="51"/>
    </row>
    <row r="410" spans="7:12" ht="13.5">
      <c r="G410" s="51"/>
      <c r="H410" s="51"/>
      <c r="I410" s="51"/>
      <c r="J410" s="51"/>
      <c r="K410" s="51"/>
      <c r="L410" s="51"/>
    </row>
    <row r="411" spans="7:12" ht="13.5">
      <c r="G411" s="51"/>
      <c r="H411" s="51"/>
      <c r="I411" s="51"/>
      <c r="J411" s="51"/>
      <c r="K411" s="51"/>
      <c r="L411" s="51"/>
    </row>
    <row r="412" spans="7:12" ht="13.5">
      <c r="G412" s="51"/>
      <c r="H412" s="51"/>
      <c r="I412" s="51"/>
      <c r="J412" s="51"/>
      <c r="K412" s="51"/>
      <c r="L412" s="51"/>
    </row>
    <row r="413" spans="7:12" ht="13.5">
      <c r="G413" s="51"/>
      <c r="H413" s="51"/>
      <c r="I413" s="51"/>
      <c r="J413" s="51"/>
      <c r="K413" s="51"/>
      <c r="L413" s="51"/>
    </row>
    <row r="414" spans="7:12" ht="13.5">
      <c r="G414" s="51"/>
      <c r="H414" s="51"/>
      <c r="I414" s="51"/>
      <c r="J414" s="51"/>
      <c r="K414" s="51"/>
      <c r="L414" s="51"/>
    </row>
    <row r="415" spans="7:12" ht="13.5">
      <c r="G415" s="51"/>
      <c r="H415" s="51"/>
      <c r="I415" s="51"/>
      <c r="J415" s="51"/>
      <c r="K415" s="51"/>
      <c r="L415" s="51"/>
    </row>
    <row r="416" spans="7:12" ht="13.5">
      <c r="G416" s="51"/>
      <c r="H416" s="51"/>
      <c r="I416" s="51"/>
      <c r="J416" s="51"/>
      <c r="K416" s="51"/>
      <c r="L416" s="51"/>
    </row>
    <row r="417" spans="7:12" ht="13.5">
      <c r="G417" s="51"/>
      <c r="H417" s="51"/>
      <c r="I417" s="51"/>
      <c r="J417" s="51"/>
      <c r="K417" s="51"/>
      <c r="L417" s="51"/>
    </row>
    <row r="418" spans="7:12" ht="13.5">
      <c r="G418" s="51"/>
      <c r="H418" s="51"/>
      <c r="I418" s="51"/>
      <c r="J418" s="51"/>
      <c r="K418" s="51"/>
      <c r="L418" s="51"/>
    </row>
    <row r="419" spans="7:12" ht="13.5">
      <c r="G419" s="51"/>
      <c r="H419" s="51"/>
      <c r="I419" s="51"/>
      <c r="J419" s="51"/>
      <c r="K419" s="51"/>
      <c r="L419" s="51"/>
    </row>
    <row r="420" spans="7:12" ht="13.5">
      <c r="G420" s="51"/>
      <c r="H420" s="51"/>
      <c r="I420" s="51"/>
      <c r="J420" s="51"/>
      <c r="K420" s="51"/>
      <c r="L420" s="51"/>
    </row>
    <row r="421" spans="7:12" ht="13.5">
      <c r="G421" s="51"/>
      <c r="H421" s="51"/>
      <c r="I421" s="51"/>
      <c r="J421" s="51"/>
      <c r="K421" s="51"/>
      <c r="L421" s="51"/>
    </row>
    <row r="422" spans="7:12" ht="13.5">
      <c r="G422" s="51"/>
      <c r="H422" s="51"/>
      <c r="I422" s="51"/>
      <c r="J422" s="51"/>
      <c r="K422" s="51"/>
      <c r="L422" s="51"/>
    </row>
    <row r="423" spans="7:12" ht="13.5">
      <c r="G423" s="51"/>
      <c r="H423" s="51"/>
      <c r="I423" s="51"/>
      <c r="J423" s="51"/>
      <c r="K423" s="51"/>
      <c r="L423" s="51"/>
    </row>
    <row r="424" spans="7:12" ht="13.5">
      <c r="G424" s="51"/>
      <c r="H424" s="51"/>
      <c r="I424" s="51"/>
      <c r="J424" s="51"/>
      <c r="K424" s="51"/>
      <c r="L424" s="51"/>
    </row>
    <row r="425" spans="7:12" ht="13.5">
      <c r="G425" s="51"/>
      <c r="H425" s="51"/>
      <c r="I425" s="51"/>
      <c r="J425" s="51"/>
      <c r="K425" s="51"/>
      <c r="L425" s="51"/>
    </row>
    <row r="426" spans="7:12" ht="13.5">
      <c r="G426" s="51"/>
      <c r="H426" s="51"/>
      <c r="I426" s="51"/>
      <c r="J426" s="51"/>
      <c r="K426" s="51"/>
      <c r="L426" s="51"/>
    </row>
  </sheetData>
  <hyperlinks>
    <hyperlink ref="S43" r:id="rId1" display="http://www.nikkoam.com/products/etf_data/etf-large.xls"/>
  </hyperlinks>
  <printOptions/>
  <pageMargins left="0.75" right="0.75" top="1" bottom="1" header="0.512" footer="0.512"/>
  <pageSetup horizontalDpi="600" verticalDpi="600" orientation="portrait" paperSize="9" r:id="rId5"/>
  <drawing r:id="rId4"/>
  <legacyDrawing r:id="rId3"/>
</worksheet>
</file>

<file path=xl/worksheets/sheet3.xml><?xml version="1.0" encoding="utf-8"?>
<worksheet xmlns="http://schemas.openxmlformats.org/spreadsheetml/2006/main" xmlns:r="http://schemas.openxmlformats.org/officeDocument/2006/relationships">
  <sheetPr codeName="Sheet18"/>
  <dimension ref="A1:Q144"/>
  <sheetViews>
    <sheetView workbookViewId="0" topLeftCell="A12">
      <selection activeCell="J25" sqref="J25"/>
    </sheetView>
  </sheetViews>
  <sheetFormatPr defaultColWidth="9.00390625" defaultRowHeight="13.5"/>
  <sheetData>
    <row r="1" ht="13.5">
      <c r="A1" t="s">
        <v>262</v>
      </c>
    </row>
    <row r="2" ht="13.5">
      <c r="A2" t="s">
        <v>263</v>
      </c>
    </row>
    <row r="3" ht="13.5">
      <c r="A3" t="s">
        <v>264</v>
      </c>
    </row>
    <row r="4" ht="13.5">
      <c r="A4" t="s">
        <v>265</v>
      </c>
    </row>
    <row r="5" ht="13.5">
      <c r="A5" t="s">
        <v>266</v>
      </c>
    </row>
    <row r="6" ht="13.5">
      <c r="A6" t="s">
        <v>267</v>
      </c>
    </row>
    <row r="7" ht="13.5">
      <c r="A7" t="s">
        <v>268</v>
      </c>
    </row>
    <row r="8" ht="13.5">
      <c r="A8" t="s">
        <v>269</v>
      </c>
    </row>
    <row r="9" ht="13.5">
      <c r="A9" t="s">
        <v>270</v>
      </c>
    </row>
    <row r="10" ht="13.5">
      <c r="A10" t="s">
        <v>271</v>
      </c>
    </row>
    <row r="11" ht="13.5">
      <c r="A11" t="s">
        <v>272</v>
      </c>
    </row>
    <row r="12" ht="13.5">
      <c r="A12" t="s">
        <v>273</v>
      </c>
    </row>
    <row r="13" ht="13.5">
      <c r="A13" t="s">
        <v>274</v>
      </c>
    </row>
    <row r="14" ht="13.5">
      <c r="A14" t="s">
        <v>275</v>
      </c>
    </row>
    <row r="15" ht="13.5">
      <c r="A15" t="s">
        <v>276</v>
      </c>
    </row>
    <row r="16" ht="13.5">
      <c r="A16" t="s">
        <v>986</v>
      </c>
    </row>
    <row r="17" spans="1:9" ht="13.5">
      <c r="A17" t="s">
        <v>277</v>
      </c>
      <c r="I17" t="s">
        <v>987</v>
      </c>
    </row>
    <row r="18" ht="13.5">
      <c r="A18" t="s">
        <v>278</v>
      </c>
    </row>
    <row r="19" spans="1:11" ht="13.5">
      <c r="A19" t="s">
        <v>988</v>
      </c>
      <c r="C19" t="s">
        <v>279</v>
      </c>
      <c r="I19" t="s">
        <v>611</v>
      </c>
      <c r="K19" t="s">
        <v>279</v>
      </c>
    </row>
    <row r="20" spans="1:17" ht="13.5">
      <c r="A20" t="s">
        <v>280</v>
      </c>
      <c r="B20" t="s">
        <v>281</v>
      </c>
      <c r="C20" t="s">
        <v>323</v>
      </c>
      <c r="D20" t="s">
        <v>324</v>
      </c>
      <c r="E20" t="s">
        <v>325</v>
      </c>
      <c r="F20" t="s">
        <v>282</v>
      </c>
      <c r="G20" t="s">
        <v>1008</v>
      </c>
      <c r="H20" t="s">
        <v>322</v>
      </c>
      <c r="I20" t="s">
        <v>280</v>
      </c>
      <c r="J20" t="s">
        <v>281</v>
      </c>
      <c r="K20" t="s">
        <v>323</v>
      </c>
      <c r="L20" t="s">
        <v>324</v>
      </c>
      <c r="M20" t="s">
        <v>325</v>
      </c>
      <c r="N20" t="s">
        <v>282</v>
      </c>
      <c r="O20" t="s">
        <v>1008</v>
      </c>
      <c r="P20" t="s">
        <v>322</v>
      </c>
      <c r="Q20" t="s">
        <v>285</v>
      </c>
    </row>
    <row r="21" spans="1:17" ht="13.5">
      <c r="A21" s="238">
        <v>40269</v>
      </c>
      <c r="B21" s="141">
        <v>3255</v>
      </c>
      <c r="C21" s="141" t="s">
        <v>283</v>
      </c>
      <c r="D21" s="141" t="s">
        <v>283</v>
      </c>
      <c r="E21" s="141" t="s">
        <v>283</v>
      </c>
      <c r="F21" s="141" t="s">
        <v>283</v>
      </c>
      <c r="G21" t="s">
        <v>283</v>
      </c>
      <c r="H21" t="s">
        <v>283</v>
      </c>
      <c r="I21" s="238">
        <v>40269</v>
      </c>
      <c r="J21" s="141">
        <v>3287</v>
      </c>
      <c r="K21" s="141">
        <v>3263</v>
      </c>
      <c r="L21" s="141">
        <v>3263</v>
      </c>
      <c r="M21" s="141">
        <v>3255</v>
      </c>
      <c r="N21" s="141">
        <v>3255</v>
      </c>
      <c r="O21">
        <v>-32</v>
      </c>
      <c r="P21">
        <v>14</v>
      </c>
      <c r="Q21" s="141">
        <v>3255</v>
      </c>
    </row>
    <row r="22" spans="1:17" ht="13.5">
      <c r="A22" s="238">
        <v>40330</v>
      </c>
      <c r="B22" s="141">
        <v>3255</v>
      </c>
      <c r="C22" s="141">
        <v>3246</v>
      </c>
      <c r="D22" s="141">
        <v>3246</v>
      </c>
      <c r="E22" s="141">
        <v>3243</v>
      </c>
      <c r="F22" s="141">
        <v>3243</v>
      </c>
      <c r="G22">
        <v>-12</v>
      </c>
      <c r="H22">
        <v>2</v>
      </c>
      <c r="I22" s="238">
        <v>40330</v>
      </c>
      <c r="J22" s="141">
        <v>3285</v>
      </c>
      <c r="K22" s="141">
        <v>3267</v>
      </c>
      <c r="L22" s="141">
        <v>3267</v>
      </c>
      <c r="M22" s="141">
        <v>3255</v>
      </c>
      <c r="N22" s="141">
        <v>3255</v>
      </c>
      <c r="O22">
        <v>-30</v>
      </c>
      <c r="P22">
        <v>32</v>
      </c>
      <c r="Q22" s="141">
        <v>3255</v>
      </c>
    </row>
    <row r="23" spans="1:17" ht="13.5">
      <c r="A23" s="238">
        <v>40391</v>
      </c>
      <c r="B23" s="141">
        <v>3260</v>
      </c>
      <c r="C23" s="141">
        <v>3253</v>
      </c>
      <c r="D23" s="141">
        <v>3277</v>
      </c>
      <c r="E23" s="141">
        <v>3249</v>
      </c>
      <c r="F23" s="141">
        <v>3276</v>
      </c>
      <c r="G23">
        <v>16</v>
      </c>
      <c r="H23">
        <v>21</v>
      </c>
      <c r="I23" s="238">
        <v>40391</v>
      </c>
      <c r="J23" s="141">
        <v>3287</v>
      </c>
      <c r="K23" s="141">
        <v>3268</v>
      </c>
      <c r="L23" s="141">
        <v>3269</v>
      </c>
      <c r="M23" s="141">
        <v>3258</v>
      </c>
      <c r="N23" s="141">
        <v>3260</v>
      </c>
      <c r="O23">
        <v>-27</v>
      </c>
      <c r="P23">
        <v>74</v>
      </c>
      <c r="Q23" s="141">
        <v>3260</v>
      </c>
    </row>
    <row r="24" spans="1:17" ht="13.5">
      <c r="A24" s="238">
        <v>40452</v>
      </c>
      <c r="B24" s="141">
        <v>3263</v>
      </c>
      <c r="C24" s="141">
        <v>3252</v>
      </c>
      <c r="D24" s="141">
        <v>3277</v>
      </c>
      <c r="E24" s="141">
        <v>3252</v>
      </c>
      <c r="F24" s="141">
        <v>3277</v>
      </c>
      <c r="G24">
        <v>14</v>
      </c>
      <c r="H24" s="141">
        <v>14</v>
      </c>
      <c r="I24" s="238">
        <v>40452</v>
      </c>
      <c r="J24" s="141">
        <v>3290</v>
      </c>
      <c r="K24" s="141">
        <v>3272</v>
      </c>
      <c r="L24" s="141">
        <v>3273</v>
      </c>
      <c r="M24" s="141">
        <v>3261</v>
      </c>
      <c r="N24" s="141">
        <v>3263</v>
      </c>
      <c r="O24">
        <v>-27</v>
      </c>
      <c r="P24" s="141">
        <v>226</v>
      </c>
      <c r="Q24" s="141">
        <v>3263</v>
      </c>
    </row>
    <row r="25" spans="1:17" ht="13.5">
      <c r="A25" s="238">
        <v>40513</v>
      </c>
      <c r="B25" s="141">
        <v>3264</v>
      </c>
      <c r="C25" s="141">
        <v>3250</v>
      </c>
      <c r="D25" s="141">
        <v>3280</v>
      </c>
      <c r="E25" s="141">
        <v>3249</v>
      </c>
      <c r="F25" s="141">
        <v>3277</v>
      </c>
      <c r="G25">
        <v>13</v>
      </c>
      <c r="H25" s="141">
        <v>596</v>
      </c>
      <c r="I25" s="238">
        <v>40513</v>
      </c>
      <c r="J25" s="141">
        <v>3292</v>
      </c>
      <c r="K25" s="141">
        <v>3273</v>
      </c>
      <c r="L25" s="141">
        <v>3274</v>
      </c>
      <c r="M25" s="141">
        <v>3260</v>
      </c>
      <c r="N25" s="141">
        <v>3264</v>
      </c>
      <c r="O25">
        <v>-28</v>
      </c>
      <c r="P25" s="141">
        <v>2262</v>
      </c>
      <c r="Q25" s="141">
        <v>3264</v>
      </c>
    </row>
    <row r="26" spans="1:17" ht="13.5">
      <c r="A26" s="238">
        <v>40575</v>
      </c>
      <c r="B26" s="141">
        <v>3264</v>
      </c>
      <c r="C26" s="141">
        <v>3251</v>
      </c>
      <c r="D26" s="141">
        <v>3283</v>
      </c>
      <c r="E26" s="141">
        <v>3249</v>
      </c>
      <c r="F26" s="141">
        <v>3279</v>
      </c>
      <c r="G26">
        <v>15</v>
      </c>
      <c r="H26" s="141">
        <v>16424</v>
      </c>
      <c r="I26" s="238">
        <v>40575</v>
      </c>
      <c r="J26" s="141">
        <v>3293</v>
      </c>
      <c r="K26" s="141">
        <v>3273</v>
      </c>
      <c r="L26" s="141">
        <v>3274</v>
      </c>
      <c r="M26" s="141">
        <v>3260</v>
      </c>
      <c r="N26" s="141">
        <v>3263</v>
      </c>
      <c r="O26">
        <v>-29</v>
      </c>
      <c r="P26" s="141">
        <v>22315</v>
      </c>
      <c r="Q26" s="141">
        <v>3264</v>
      </c>
    </row>
    <row r="27" spans="1:16" ht="13.5">
      <c r="A27" t="s">
        <v>284</v>
      </c>
      <c r="H27" s="141">
        <v>17057</v>
      </c>
      <c r="I27" t="s">
        <v>284</v>
      </c>
      <c r="P27" s="141">
        <v>24923</v>
      </c>
    </row>
    <row r="28" ht="13.5">
      <c r="A28" t="s">
        <v>286</v>
      </c>
    </row>
    <row r="29" spans="1:11" ht="13.5">
      <c r="A29" t="s">
        <v>988</v>
      </c>
      <c r="C29" t="s">
        <v>279</v>
      </c>
      <c r="I29" t="s">
        <v>611</v>
      </c>
      <c r="K29" t="s">
        <v>279</v>
      </c>
    </row>
    <row r="30" spans="1:17" ht="13.5">
      <c r="A30" t="s">
        <v>280</v>
      </c>
      <c r="B30" t="s">
        <v>281</v>
      </c>
      <c r="C30" t="s">
        <v>323</v>
      </c>
      <c r="D30" t="s">
        <v>324</v>
      </c>
      <c r="E30" t="s">
        <v>325</v>
      </c>
      <c r="F30" t="s">
        <v>282</v>
      </c>
      <c r="G30" t="s">
        <v>1008</v>
      </c>
      <c r="H30" t="s">
        <v>322</v>
      </c>
      <c r="I30" t="s">
        <v>280</v>
      </c>
      <c r="J30" t="s">
        <v>281</v>
      </c>
      <c r="K30" t="s">
        <v>323</v>
      </c>
      <c r="L30" t="s">
        <v>324</v>
      </c>
      <c r="M30" t="s">
        <v>325</v>
      </c>
      <c r="N30" t="s">
        <v>282</v>
      </c>
      <c r="O30" t="s">
        <v>1008</v>
      </c>
      <c r="P30" t="s">
        <v>322</v>
      </c>
      <c r="Q30" t="s">
        <v>285</v>
      </c>
    </row>
    <row r="31" spans="1:17" ht="13.5">
      <c r="A31" s="238">
        <v>40269</v>
      </c>
      <c r="B31" s="141">
        <v>3255</v>
      </c>
      <c r="C31" s="141" t="s">
        <v>283</v>
      </c>
      <c r="D31" s="141" t="s">
        <v>283</v>
      </c>
      <c r="E31" s="141" t="s">
        <v>283</v>
      </c>
      <c r="F31" s="141" t="s">
        <v>283</v>
      </c>
      <c r="G31" t="s">
        <v>283</v>
      </c>
      <c r="H31" t="s">
        <v>283</v>
      </c>
      <c r="I31" s="238">
        <v>40269</v>
      </c>
      <c r="J31" s="141">
        <v>3287</v>
      </c>
      <c r="K31" s="141">
        <v>3260</v>
      </c>
      <c r="L31" s="141">
        <v>3260</v>
      </c>
      <c r="M31" s="141">
        <v>3254</v>
      </c>
      <c r="N31" s="141">
        <v>3254</v>
      </c>
      <c r="O31">
        <v>-32</v>
      </c>
      <c r="P31">
        <v>2</v>
      </c>
      <c r="Q31" s="141">
        <v>3255</v>
      </c>
    </row>
    <row r="32" spans="1:17" ht="13.5">
      <c r="A32" s="238">
        <v>40330</v>
      </c>
      <c r="B32" s="141">
        <v>3255</v>
      </c>
      <c r="C32" s="141">
        <v>3259</v>
      </c>
      <c r="D32" s="141">
        <v>3259</v>
      </c>
      <c r="E32" s="141">
        <v>3254</v>
      </c>
      <c r="F32" s="141">
        <v>3254</v>
      </c>
      <c r="G32">
        <v>-1</v>
      </c>
      <c r="H32">
        <v>2</v>
      </c>
      <c r="I32" s="238">
        <v>40330</v>
      </c>
      <c r="J32" s="141">
        <v>3285</v>
      </c>
      <c r="K32" s="141">
        <v>3251</v>
      </c>
      <c r="L32" s="141">
        <v>3278</v>
      </c>
      <c r="M32" s="141">
        <v>3251</v>
      </c>
      <c r="N32" s="141">
        <v>3273</v>
      </c>
      <c r="O32">
        <v>-30</v>
      </c>
      <c r="P32">
        <v>5</v>
      </c>
      <c r="Q32" s="141">
        <v>3255</v>
      </c>
    </row>
    <row r="33" spans="1:17" ht="13.5">
      <c r="A33" s="238">
        <v>40391</v>
      </c>
      <c r="B33" s="141">
        <v>3260</v>
      </c>
      <c r="C33" s="141">
        <v>3255</v>
      </c>
      <c r="D33" s="141">
        <v>3273</v>
      </c>
      <c r="E33" s="141">
        <v>3238</v>
      </c>
      <c r="F33" s="141">
        <v>3273</v>
      </c>
      <c r="G33">
        <v>13</v>
      </c>
      <c r="H33">
        <v>14</v>
      </c>
      <c r="I33" s="238">
        <v>40391</v>
      </c>
      <c r="J33" s="141">
        <v>3287</v>
      </c>
      <c r="K33" s="141">
        <v>3260</v>
      </c>
      <c r="L33" s="141">
        <v>3266</v>
      </c>
      <c r="M33" s="141">
        <v>3248</v>
      </c>
      <c r="N33" s="141">
        <v>3259</v>
      </c>
      <c r="O33">
        <v>-27</v>
      </c>
      <c r="P33">
        <v>56</v>
      </c>
      <c r="Q33" s="141">
        <v>3260</v>
      </c>
    </row>
    <row r="34" spans="1:17" ht="13.5">
      <c r="A34" s="238">
        <v>40452</v>
      </c>
      <c r="B34" s="141">
        <v>3263</v>
      </c>
      <c r="C34" s="141">
        <v>3263</v>
      </c>
      <c r="D34" s="141">
        <v>3289</v>
      </c>
      <c r="E34" s="141">
        <v>3255</v>
      </c>
      <c r="F34" s="141">
        <v>3289</v>
      </c>
      <c r="G34">
        <v>26</v>
      </c>
      <c r="H34">
        <v>13</v>
      </c>
      <c r="I34" s="238">
        <v>40452</v>
      </c>
      <c r="J34" s="141">
        <v>3290</v>
      </c>
      <c r="K34" s="141">
        <v>3281</v>
      </c>
      <c r="L34" s="141">
        <v>3281</v>
      </c>
      <c r="M34" s="141">
        <v>3270</v>
      </c>
      <c r="N34" s="141">
        <v>3273</v>
      </c>
      <c r="O34">
        <v>-27</v>
      </c>
      <c r="P34">
        <v>31</v>
      </c>
      <c r="Q34" s="141">
        <v>3263</v>
      </c>
    </row>
    <row r="35" spans="1:17" ht="13.5">
      <c r="A35" s="238">
        <v>40513</v>
      </c>
      <c r="B35" s="141">
        <v>3264</v>
      </c>
      <c r="C35" s="141">
        <v>3261</v>
      </c>
      <c r="D35" s="141">
        <v>3285</v>
      </c>
      <c r="E35" s="141">
        <v>3255</v>
      </c>
      <c r="F35" s="141">
        <v>3283</v>
      </c>
      <c r="G35">
        <v>19</v>
      </c>
      <c r="H35" s="141">
        <v>47</v>
      </c>
      <c r="I35" s="238">
        <v>40513</v>
      </c>
      <c r="J35" s="141">
        <v>3292</v>
      </c>
      <c r="K35" s="141">
        <v>3274</v>
      </c>
      <c r="L35" s="141">
        <v>3280</v>
      </c>
      <c r="M35" s="141">
        <v>3268</v>
      </c>
      <c r="N35" s="141">
        <v>3270</v>
      </c>
      <c r="O35">
        <v>-28</v>
      </c>
      <c r="P35" s="141">
        <v>385</v>
      </c>
      <c r="Q35" s="141">
        <v>3264</v>
      </c>
    </row>
    <row r="36" spans="1:17" ht="13.5">
      <c r="A36" s="238">
        <v>40575</v>
      </c>
      <c r="B36" s="141">
        <v>3264</v>
      </c>
      <c r="C36" s="141">
        <v>3255</v>
      </c>
      <c r="D36" s="141">
        <v>3284</v>
      </c>
      <c r="E36" s="141">
        <v>3250</v>
      </c>
      <c r="F36" s="141">
        <v>3278</v>
      </c>
      <c r="G36">
        <v>14</v>
      </c>
      <c r="H36" s="141">
        <v>1607</v>
      </c>
      <c r="I36" s="238">
        <v>40575</v>
      </c>
      <c r="J36" s="141">
        <v>3293</v>
      </c>
      <c r="K36" s="141">
        <v>3276</v>
      </c>
      <c r="L36" s="141">
        <v>3276</v>
      </c>
      <c r="M36" s="141">
        <v>3262</v>
      </c>
      <c r="N36" s="141">
        <v>3267</v>
      </c>
      <c r="O36">
        <v>-29</v>
      </c>
      <c r="P36" s="141">
        <v>4413</v>
      </c>
      <c r="Q36" s="141">
        <v>3264</v>
      </c>
    </row>
    <row r="37" spans="1:16" ht="13.5">
      <c r="A37" t="s">
        <v>284</v>
      </c>
      <c r="H37" s="141">
        <v>1683</v>
      </c>
      <c r="I37" t="s">
        <v>284</v>
      </c>
      <c r="P37" s="141">
        <v>4892</v>
      </c>
    </row>
    <row r="38" ht="13.5">
      <c r="A38" t="s">
        <v>287</v>
      </c>
    </row>
    <row r="39" spans="1:11" ht="13.5">
      <c r="A39" t="s">
        <v>988</v>
      </c>
      <c r="C39" t="s">
        <v>288</v>
      </c>
      <c r="I39" t="s">
        <v>611</v>
      </c>
      <c r="K39" t="s">
        <v>288</v>
      </c>
    </row>
    <row r="40" spans="3:11" ht="13.5">
      <c r="C40" t="s">
        <v>289</v>
      </c>
      <c r="K40" t="s">
        <v>289</v>
      </c>
    </row>
    <row r="41" spans="1:17" ht="13.5">
      <c r="A41" t="s">
        <v>280</v>
      </c>
      <c r="B41" t="s">
        <v>281</v>
      </c>
      <c r="C41" t="s">
        <v>323</v>
      </c>
      <c r="D41" t="s">
        <v>324</v>
      </c>
      <c r="E41" t="s">
        <v>325</v>
      </c>
      <c r="F41" t="s">
        <v>282</v>
      </c>
      <c r="G41" t="s">
        <v>1008</v>
      </c>
      <c r="H41" t="s">
        <v>322</v>
      </c>
      <c r="I41" t="s">
        <v>280</v>
      </c>
      <c r="J41" t="s">
        <v>281</v>
      </c>
      <c r="K41" t="s">
        <v>323</v>
      </c>
      <c r="L41" t="s">
        <v>324</v>
      </c>
      <c r="M41" t="s">
        <v>325</v>
      </c>
      <c r="N41" t="s">
        <v>282</v>
      </c>
      <c r="O41" t="s">
        <v>1008</v>
      </c>
      <c r="P41" t="s">
        <v>322</v>
      </c>
      <c r="Q41" t="s">
        <v>285</v>
      </c>
    </row>
    <row r="42" spans="1:17" ht="13.5">
      <c r="A42" s="238">
        <v>40269</v>
      </c>
      <c r="B42">
        <v>509.9</v>
      </c>
      <c r="C42" t="s">
        <v>283</v>
      </c>
      <c r="D42" t="s">
        <v>283</v>
      </c>
      <c r="E42" t="s">
        <v>283</v>
      </c>
      <c r="F42" t="s">
        <v>283</v>
      </c>
      <c r="G42" t="s">
        <v>283</v>
      </c>
      <c r="H42" t="s">
        <v>283</v>
      </c>
      <c r="I42" s="238">
        <v>40269</v>
      </c>
      <c r="J42">
        <v>509.9</v>
      </c>
      <c r="K42" t="s">
        <v>283</v>
      </c>
      <c r="L42" t="s">
        <v>283</v>
      </c>
      <c r="M42" t="s">
        <v>283</v>
      </c>
      <c r="N42" t="s">
        <v>283</v>
      </c>
      <c r="O42">
        <v>0</v>
      </c>
      <c r="P42" t="s">
        <v>283</v>
      </c>
      <c r="Q42">
        <v>509.9</v>
      </c>
    </row>
    <row r="43" spans="1:17" ht="13.5">
      <c r="A43" s="238">
        <v>40330</v>
      </c>
      <c r="B43">
        <v>510.3</v>
      </c>
      <c r="C43" t="s">
        <v>283</v>
      </c>
      <c r="D43" t="s">
        <v>283</v>
      </c>
      <c r="E43" t="s">
        <v>283</v>
      </c>
      <c r="F43" t="s">
        <v>283</v>
      </c>
      <c r="G43" t="s">
        <v>283</v>
      </c>
      <c r="H43" t="s">
        <v>283</v>
      </c>
      <c r="I43" s="238">
        <v>40330</v>
      </c>
      <c r="J43">
        <v>510.3</v>
      </c>
      <c r="K43" t="s">
        <v>283</v>
      </c>
      <c r="L43" t="s">
        <v>283</v>
      </c>
      <c r="M43" t="s">
        <v>283</v>
      </c>
      <c r="N43" t="s">
        <v>283</v>
      </c>
      <c r="O43">
        <v>0</v>
      </c>
      <c r="P43" t="s">
        <v>283</v>
      </c>
      <c r="Q43">
        <v>510.3</v>
      </c>
    </row>
    <row r="44" spans="1:17" ht="13.5">
      <c r="A44" s="238">
        <v>40391</v>
      </c>
      <c r="B44">
        <v>508.2</v>
      </c>
      <c r="C44" t="s">
        <v>283</v>
      </c>
      <c r="D44" t="s">
        <v>283</v>
      </c>
      <c r="E44" t="s">
        <v>283</v>
      </c>
      <c r="F44" t="s">
        <v>283</v>
      </c>
      <c r="G44" t="s">
        <v>283</v>
      </c>
      <c r="H44" t="s">
        <v>283</v>
      </c>
      <c r="I44" s="238">
        <v>40391</v>
      </c>
      <c r="J44">
        <v>508.2</v>
      </c>
      <c r="K44" t="s">
        <v>283</v>
      </c>
      <c r="L44" t="s">
        <v>283</v>
      </c>
      <c r="M44" t="s">
        <v>283</v>
      </c>
      <c r="N44" t="s">
        <v>283</v>
      </c>
      <c r="O44">
        <v>0</v>
      </c>
      <c r="P44" t="s">
        <v>283</v>
      </c>
      <c r="Q44">
        <v>508.2</v>
      </c>
    </row>
    <row r="45" spans="1:17" ht="13.5">
      <c r="A45" s="238">
        <v>40452</v>
      </c>
      <c r="B45">
        <v>511</v>
      </c>
      <c r="C45">
        <v>508.9</v>
      </c>
      <c r="D45">
        <v>508.9</v>
      </c>
      <c r="E45">
        <v>508.9</v>
      </c>
      <c r="F45">
        <v>508.9</v>
      </c>
      <c r="G45">
        <v>-2.1</v>
      </c>
      <c r="H45">
        <v>5</v>
      </c>
      <c r="I45" s="238">
        <v>40452</v>
      </c>
      <c r="J45">
        <v>512.9</v>
      </c>
      <c r="K45">
        <v>511</v>
      </c>
      <c r="L45">
        <v>511</v>
      </c>
      <c r="M45">
        <v>511</v>
      </c>
      <c r="N45">
        <v>511</v>
      </c>
      <c r="O45">
        <v>-1.9</v>
      </c>
      <c r="P45">
        <v>1</v>
      </c>
      <c r="Q45">
        <v>511</v>
      </c>
    </row>
    <row r="46" spans="1:17" ht="13.5">
      <c r="A46" s="238">
        <v>40513</v>
      </c>
      <c r="B46">
        <v>51.2</v>
      </c>
      <c r="C46">
        <v>51.2</v>
      </c>
      <c r="D46">
        <v>51.2</v>
      </c>
      <c r="E46">
        <v>51.2</v>
      </c>
      <c r="F46">
        <v>51.2</v>
      </c>
      <c r="G46">
        <v>0</v>
      </c>
      <c r="H46">
        <v>1</v>
      </c>
      <c r="I46" s="238">
        <v>40513</v>
      </c>
      <c r="J46">
        <v>51.4</v>
      </c>
      <c r="K46">
        <v>51.3</v>
      </c>
      <c r="L46">
        <v>51.4</v>
      </c>
      <c r="M46">
        <v>51</v>
      </c>
      <c r="N46">
        <v>51.2</v>
      </c>
      <c r="O46">
        <v>-0.2</v>
      </c>
      <c r="P46">
        <v>140</v>
      </c>
      <c r="Q46">
        <v>51.2</v>
      </c>
    </row>
    <row r="47" spans="1:17" ht="13.5">
      <c r="A47" s="238">
        <v>40575</v>
      </c>
      <c r="B47">
        <v>51.2</v>
      </c>
      <c r="C47">
        <v>50.9</v>
      </c>
      <c r="D47">
        <v>51.3</v>
      </c>
      <c r="E47">
        <v>50.6</v>
      </c>
      <c r="F47">
        <v>51.2</v>
      </c>
      <c r="G47">
        <v>0</v>
      </c>
      <c r="H47">
        <v>48</v>
      </c>
      <c r="I47" s="238">
        <v>40575</v>
      </c>
      <c r="J47">
        <v>51.4</v>
      </c>
      <c r="K47">
        <v>51.3</v>
      </c>
      <c r="L47">
        <v>51.3</v>
      </c>
      <c r="M47">
        <v>51</v>
      </c>
      <c r="N47">
        <v>51.2</v>
      </c>
      <c r="O47">
        <v>-0.2</v>
      </c>
      <c r="P47">
        <v>210</v>
      </c>
      <c r="Q47">
        <v>51.2</v>
      </c>
    </row>
    <row r="48" spans="1:16" ht="13.5">
      <c r="A48" t="s">
        <v>284</v>
      </c>
      <c r="H48">
        <v>54</v>
      </c>
      <c r="I48" t="s">
        <v>284</v>
      </c>
      <c r="P48" s="141">
        <v>351</v>
      </c>
    </row>
    <row r="49" ht="13.5">
      <c r="A49" t="s">
        <v>290</v>
      </c>
    </row>
    <row r="50" spans="1:11" ht="13.5">
      <c r="A50" t="s">
        <v>988</v>
      </c>
      <c r="C50" t="s">
        <v>279</v>
      </c>
      <c r="I50" t="s">
        <v>611</v>
      </c>
      <c r="K50" t="s">
        <v>279</v>
      </c>
    </row>
    <row r="51" spans="1:17" ht="13.5">
      <c r="A51" t="s">
        <v>280</v>
      </c>
      <c r="B51" t="s">
        <v>281</v>
      </c>
      <c r="C51" t="s">
        <v>323</v>
      </c>
      <c r="D51" t="s">
        <v>324</v>
      </c>
      <c r="E51" t="s">
        <v>325</v>
      </c>
      <c r="F51" t="s">
        <v>282</v>
      </c>
      <c r="G51" t="s">
        <v>1008</v>
      </c>
      <c r="H51" t="s">
        <v>322</v>
      </c>
      <c r="I51" t="s">
        <v>280</v>
      </c>
      <c r="J51" t="s">
        <v>281</v>
      </c>
      <c r="K51" t="s">
        <v>323</v>
      </c>
      <c r="L51" t="s">
        <v>324</v>
      </c>
      <c r="M51" t="s">
        <v>325</v>
      </c>
      <c r="N51" t="s">
        <v>282</v>
      </c>
      <c r="O51" t="s">
        <v>1008</v>
      </c>
      <c r="P51" t="s">
        <v>322</v>
      </c>
      <c r="Q51" t="s">
        <v>285</v>
      </c>
    </row>
    <row r="52" spans="1:17" ht="13.5">
      <c r="A52" s="238">
        <v>40269</v>
      </c>
      <c r="B52" s="141">
        <v>4728</v>
      </c>
      <c r="C52" s="141" t="s">
        <v>283</v>
      </c>
      <c r="D52" s="141" t="s">
        <v>283</v>
      </c>
      <c r="E52" s="141" t="s">
        <v>283</v>
      </c>
      <c r="F52" s="141" t="s">
        <v>283</v>
      </c>
      <c r="G52" t="s">
        <v>283</v>
      </c>
      <c r="H52" t="s">
        <v>283</v>
      </c>
      <c r="I52" s="238">
        <v>40269</v>
      </c>
      <c r="J52" s="141">
        <v>4746</v>
      </c>
      <c r="K52" s="141">
        <v>4724</v>
      </c>
      <c r="L52" s="141">
        <v>4728</v>
      </c>
      <c r="M52" s="141">
        <v>4721</v>
      </c>
      <c r="N52" s="141">
        <v>4728</v>
      </c>
      <c r="O52">
        <v>-18</v>
      </c>
      <c r="P52">
        <v>3</v>
      </c>
      <c r="Q52" s="141">
        <v>4728</v>
      </c>
    </row>
    <row r="53" spans="1:17" ht="13.5">
      <c r="A53" s="238">
        <v>40330</v>
      </c>
      <c r="B53" s="141">
        <v>4722</v>
      </c>
      <c r="C53" s="141">
        <v>4710</v>
      </c>
      <c r="D53" s="141">
        <v>4710</v>
      </c>
      <c r="E53" s="141">
        <v>4710</v>
      </c>
      <c r="F53" s="141">
        <v>4710</v>
      </c>
      <c r="G53">
        <v>-12</v>
      </c>
      <c r="H53">
        <v>1</v>
      </c>
      <c r="I53" s="238">
        <v>40330</v>
      </c>
      <c r="J53" s="141">
        <v>4738</v>
      </c>
      <c r="K53" s="141">
        <v>4744</v>
      </c>
      <c r="L53" s="141">
        <v>4744</v>
      </c>
      <c r="M53" s="141">
        <v>4722</v>
      </c>
      <c r="N53" s="141">
        <v>4722</v>
      </c>
      <c r="O53">
        <v>-16</v>
      </c>
      <c r="P53">
        <v>4</v>
      </c>
      <c r="Q53" s="141">
        <v>4722</v>
      </c>
    </row>
    <row r="54" spans="1:17" ht="13.5">
      <c r="A54" s="238">
        <v>40391</v>
      </c>
      <c r="B54" s="141">
        <v>4706</v>
      </c>
      <c r="C54" s="141">
        <v>4694</v>
      </c>
      <c r="D54" s="141">
        <v>4694</v>
      </c>
      <c r="E54" s="141">
        <v>4694</v>
      </c>
      <c r="F54" s="141">
        <v>4694</v>
      </c>
      <c r="G54">
        <v>-12</v>
      </c>
      <c r="H54">
        <v>1</v>
      </c>
      <c r="I54" s="238">
        <v>40391</v>
      </c>
      <c r="J54" s="141">
        <v>4731</v>
      </c>
      <c r="K54" s="141">
        <v>4724</v>
      </c>
      <c r="L54" s="141">
        <v>4726</v>
      </c>
      <c r="M54" s="141">
        <v>4706</v>
      </c>
      <c r="N54" s="141">
        <v>4706</v>
      </c>
      <c r="O54">
        <v>-25</v>
      </c>
      <c r="P54">
        <v>16</v>
      </c>
      <c r="Q54" s="141">
        <v>4706</v>
      </c>
    </row>
    <row r="55" spans="1:17" ht="13.5">
      <c r="A55" s="238">
        <v>40452</v>
      </c>
      <c r="B55" s="141">
        <v>4707</v>
      </c>
      <c r="C55" s="141">
        <v>4697</v>
      </c>
      <c r="D55" s="141">
        <v>4710</v>
      </c>
      <c r="E55" s="141">
        <v>4684</v>
      </c>
      <c r="F55" s="141">
        <v>4710</v>
      </c>
      <c r="G55">
        <v>3</v>
      </c>
      <c r="H55">
        <v>14</v>
      </c>
      <c r="I55" s="238">
        <v>40452</v>
      </c>
      <c r="J55" s="141">
        <v>4724</v>
      </c>
      <c r="K55" s="141">
        <v>4723</v>
      </c>
      <c r="L55" s="141">
        <v>4723</v>
      </c>
      <c r="M55" s="141">
        <v>4701</v>
      </c>
      <c r="N55" s="141">
        <v>4707</v>
      </c>
      <c r="O55">
        <v>-17</v>
      </c>
      <c r="P55">
        <v>67</v>
      </c>
      <c r="Q55" s="141">
        <v>4707</v>
      </c>
    </row>
    <row r="56" spans="1:17" ht="13.5">
      <c r="A56" s="238">
        <v>40513</v>
      </c>
      <c r="B56" s="141">
        <v>4706</v>
      </c>
      <c r="C56" s="141">
        <v>4698</v>
      </c>
      <c r="D56" s="141">
        <v>4724</v>
      </c>
      <c r="E56" s="141">
        <v>4682</v>
      </c>
      <c r="F56" s="141">
        <v>4713</v>
      </c>
      <c r="G56">
        <v>7</v>
      </c>
      <c r="H56" s="141">
        <v>239</v>
      </c>
      <c r="I56" s="238">
        <v>40513</v>
      </c>
      <c r="J56" s="141">
        <v>4725</v>
      </c>
      <c r="K56" s="141">
        <v>4720</v>
      </c>
      <c r="L56" s="141">
        <v>4724</v>
      </c>
      <c r="M56" s="141">
        <v>4699</v>
      </c>
      <c r="N56" s="141">
        <v>4707</v>
      </c>
      <c r="O56">
        <v>-19</v>
      </c>
      <c r="P56" s="141">
        <v>1683</v>
      </c>
      <c r="Q56" s="141">
        <v>4706</v>
      </c>
    </row>
    <row r="57" spans="1:17" ht="13.5">
      <c r="A57" s="238">
        <v>40575</v>
      </c>
      <c r="B57" s="141">
        <v>4704</v>
      </c>
      <c r="C57" s="141">
        <v>4694</v>
      </c>
      <c r="D57" s="141">
        <v>4722</v>
      </c>
      <c r="E57" s="141">
        <v>4678</v>
      </c>
      <c r="F57" s="141">
        <v>4716</v>
      </c>
      <c r="G57">
        <v>12</v>
      </c>
      <c r="H57" s="141">
        <v>3300</v>
      </c>
      <c r="I57" s="238">
        <v>40575</v>
      </c>
      <c r="J57" s="141">
        <v>4723</v>
      </c>
      <c r="K57" s="141">
        <v>4718</v>
      </c>
      <c r="L57" s="141">
        <v>4723</v>
      </c>
      <c r="M57" s="141">
        <v>4696</v>
      </c>
      <c r="N57" s="141">
        <v>4701</v>
      </c>
      <c r="O57">
        <v>-19</v>
      </c>
      <c r="P57" s="141">
        <v>10549</v>
      </c>
      <c r="Q57" s="141">
        <v>4704</v>
      </c>
    </row>
    <row r="58" spans="1:16" ht="13.5">
      <c r="A58" t="s">
        <v>284</v>
      </c>
      <c r="H58" s="141">
        <v>3555</v>
      </c>
      <c r="I58" t="s">
        <v>284</v>
      </c>
      <c r="P58" s="141">
        <v>12322</v>
      </c>
    </row>
    <row r="59" ht="13.5">
      <c r="A59" t="s">
        <v>291</v>
      </c>
    </row>
    <row r="60" spans="1:11" ht="13.5">
      <c r="A60" t="s">
        <v>988</v>
      </c>
      <c r="C60" t="s">
        <v>279</v>
      </c>
      <c r="I60" t="s">
        <v>611</v>
      </c>
      <c r="K60" t="s">
        <v>279</v>
      </c>
    </row>
    <row r="61" spans="1:17" ht="13.5">
      <c r="A61" t="s">
        <v>280</v>
      </c>
      <c r="B61" t="s">
        <v>281</v>
      </c>
      <c r="C61" t="s">
        <v>323</v>
      </c>
      <c r="D61" t="s">
        <v>324</v>
      </c>
      <c r="E61" t="s">
        <v>325</v>
      </c>
      <c r="F61" t="s">
        <v>282</v>
      </c>
      <c r="G61" t="s">
        <v>1008</v>
      </c>
      <c r="H61" t="s">
        <v>322</v>
      </c>
      <c r="I61" t="s">
        <v>280</v>
      </c>
      <c r="J61" t="s">
        <v>281</v>
      </c>
      <c r="K61" t="s">
        <v>323</v>
      </c>
      <c r="L61" t="s">
        <v>324</v>
      </c>
      <c r="M61" t="s">
        <v>325</v>
      </c>
      <c r="N61" t="s">
        <v>282</v>
      </c>
      <c r="O61" t="s">
        <v>1008</v>
      </c>
      <c r="P61" t="s">
        <v>322</v>
      </c>
      <c r="Q61" t="s">
        <v>285</v>
      </c>
    </row>
    <row r="62" spans="1:17" ht="13.5">
      <c r="A62" s="238">
        <v>40269</v>
      </c>
      <c r="B62" s="141">
        <v>4728</v>
      </c>
      <c r="C62" s="141" t="s">
        <v>283</v>
      </c>
      <c r="D62" s="141" t="s">
        <v>283</v>
      </c>
      <c r="E62" s="141" t="s">
        <v>283</v>
      </c>
      <c r="F62" s="141" t="s">
        <v>283</v>
      </c>
      <c r="G62" t="s">
        <v>283</v>
      </c>
      <c r="H62" t="s">
        <v>283</v>
      </c>
      <c r="I62" s="238">
        <v>40269</v>
      </c>
      <c r="J62" s="141">
        <v>4746</v>
      </c>
      <c r="K62" s="141">
        <v>4761</v>
      </c>
      <c r="L62" s="141">
        <v>4761</v>
      </c>
      <c r="M62" s="141">
        <v>4761</v>
      </c>
      <c r="N62" s="141">
        <v>4761</v>
      </c>
      <c r="O62">
        <v>-18</v>
      </c>
      <c r="P62">
        <v>1</v>
      </c>
      <c r="Q62" s="141">
        <v>4728</v>
      </c>
    </row>
    <row r="63" spans="1:17" ht="13.5">
      <c r="A63" s="238">
        <v>40330</v>
      </c>
      <c r="B63" s="141">
        <v>4722</v>
      </c>
      <c r="C63" s="141">
        <v>4745</v>
      </c>
      <c r="D63" s="141">
        <v>4747</v>
      </c>
      <c r="E63" s="141">
        <v>4745</v>
      </c>
      <c r="F63" s="141">
        <v>4747</v>
      </c>
      <c r="G63">
        <v>25</v>
      </c>
      <c r="H63">
        <v>5</v>
      </c>
      <c r="I63" s="238">
        <v>40330</v>
      </c>
      <c r="J63" s="141">
        <v>4738</v>
      </c>
      <c r="K63" s="141" t="s">
        <v>283</v>
      </c>
      <c r="L63" s="141" t="s">
        <v>283</v>
      </c>
      <c r="M63" s="141" t="s">
        <v>283</v>
      </c>
      <c r="N63" s="141" t="s">
        <v>283</v>
      </c>
      <c r="O63">
        <v>-16</v>
      </c>
      <c r="P63" t="s">
        <v>283</v>
      </c>
      <c r="Q63" s="141">
        <v>4722</v>
      </c>
    </row>
    <row r="64" spans="1:17" ht="13.5">
      <c r="A64" s="238">
        <v>40391</v>
      </c>
      <c r="B64" s="141">
        <v>4706</v>
      </c>
      <c r="C64" s="141" t="s">
        <v>283</v>
      </c>
      <c r="D64" s="141" t="s">
        <v>283</v>
      </c>
      <c r="E64" s="141" t="s">
        <v>283</v>
      </c>
      <c r="F64" s="141" t="s">
        <v>283</v>
      </c>
      <c r="G64" t="s">
        <v>283</v>
      </c>
      <c r="H64" t="s">
        <v>283</v>
      </c>
      <c r="I64" s="238">
        <v>40391</v>
      </c>
      <c r="J64" s="141">
        <v>4731</v>
      </c>
      <c r="K64" s="141" t="s">
        <v>283</v>
      </c>
      <c r="L64" s="141" t="s">
        <v>283</v>
      </c>
      <c r="M64" s="141" t="s">
        <v>283</v>
      </c>
      <c r="N64" s="141" t="s">
        <v>283</v>
      </c>
      <c r="O64">
        <v>-25</v>
      </c>
      <c r="P64" t="s">
        <v>283</v>
      </c>
      <c r="Q64" s="141">
        <v>4706</v>
      </c>
    </row>
    <row r="65" spans="1:17" ht="13.5">
      <c r="A65" s="238">
        <v>40452</v>
      </c>
      <c r="B65" s="141">
        <v>4707</v>
      </c>
      <c r="C65" s="141" t="s">
        <v>283</v>
      </c>
      <c r="D65" s="141" t="s">
        <v>283</v>
      </c>
      <c r="E65" s="141" t="s">
        <v>283</v>
      </c>
      <c r="F65" s="141" t="s">
        <v>283</v>
      </c>
      <c r="G65" t="s">
        <v>283</v>
      </c>
      <c r="H65" t="s">
        <v>283</v>
      </c>
      <c r="I65" s="238">
        <v>40452</v>
      </c>
      <c r="J65" s="141">
        <v>4724</v>
      </c>
      <c r="K65" s="141">
        <v>4699</v>
      </c>
      <c r="L65" s="141">
        <v>4723</v>
      </c>
      <c r="M65" s="141">
        <v>4699</v>
      </c>
      <c r="N65" s="141">
        <v>4723</v>
      </c>
      <c r="O65">
        <v>-17</v>
      </c>
      <c r="P65">
        <v>4</v>
      </c>
      <c r="Q65" s="141">
        <v>4707</v>
      </c>
    </row>
    <row r="66" spans="1:17" ht="13.5">
      <c r="A66" s="238">
        <v>40513</v>
      </c>
      <c r="B66" s="141">
        <v>4706</v>
      </c>
      <c r="C66" s="141">
        <v>4691</v>
      </c>
      <c r="D66" s="141">
        <v>4715</v>
      </c>
      <c r="E66" s="141">
        <v>4673</v>
      </c>
      <c r="F66" s="141">
        <v>4704</v>
      </c>
      <c r="G66">
        <v>-2</v>
      </c>
      <c r="H66">
        <v>28</v>
      </c>
      <c r="I66" s="238">
        <v>40513</v>
      </c>
      <c r="J66" s="141">
        <v>4725</v>
      </c>
      <c r="K66" s="141">
        <v>4700</v>
      </c>
      <c r="L66" s="141">
        <v>4709</v>
      </c>
      <c r="M66" s="141">
        <v>4696</v>
      </c>
      <c r="N66" s="141">
        <v>4702</v>
      </c>
      <c r="O66">
        <v>-19</v>
      </c>
      <c r="P66">
        <v>41</v>
      </c>
      <c r="Q66" s="141">
        <v>4706</v>
      </c>
    </row>
    <row r="67" spans="1:17" ht="13.5">
      <c r="A67" s="238">
        <v>40575</v>
      </c>
      <c r="B67" s="141">
        <v>4704</v>
      </c>
      <c r="C67" s="141">
        <v>4697</v>
      </c>
      <c r="D67" s="141">
        <v>4720</v>
      </c>
      <c r="E67" s="141">
        <v>4676</v>
      </c>
      <c r="F67" s="141">
        <v>4710</v>
      </c>
      <c r="G67">
        <v>6</v>
      </c>
      <c r="H67">
        <v>304</v>
      </c>
      <c r="I67" s="238">
        <v>40575</v>
      </c>
      <c r="J67" s="141">
        <v>4723</v>
      </c>
      <c r="K67" s="141">
        <v>4718</v>
      </c>
      <c r="L67" s="141">
        <v>4723</v>
      </c>
      <c r="M67" s="141">
        <v>4697</v>
      </c>
      <c r="N67" s="141">
        <v>4702</v>
      </c>
      <c r="O67">
        <v>-19</v>
      </c>
      <c r="P67" s="141">
        <v>743</v>
      </c>
      <c r="Q67" s="141">
        <v>4704</v>
      </c>
    </row>
    <row r="68" spans="1:16" ht="13.5">
      <c r="A68" t="s">
        <v>284</v>
      </c>
      <c r="H68">
        <v>337</v>
      </c>
      <c r="I68" t="s">
        <v>284</v>
      </c>
      <c r="P68" s="141">
        <v>789</v>
      </c>
    </row>
    <row r="69" ht="13.5">
      <c r="A69" t="s">
        <v>292</v>
      </c>
    </row>
    <row r="70" spans="1:11" ht="13.5">
      <c r="A70" t="s">
        <v>988</v>
      </c>
      <c r="C70" t="s">
        <v>279</v>
      </c>
      <c r="I70" t="s">
        <v>611</v>
      </c>
      <c r="K70" t="s">
        <v>279</v>
      </c>
    </row>
    <row r="71" spans="1:17" ht="13.5">
      <c r="A71" t="s">
        <v>280</v>
      </c>
      <c r="B71" t="s">
        <v>281</v>
      </c>
      <c r="C71" t="s">
        <v>323</v>
      </c>
      <c r="D71" t="s">
        <v>324</v>
      </c>
      <c r="E71" t="s">
        <v>325</v>
      </c>
      <c r="F71" t="s">
        <v>282</v>
      </c>
      <c r="G71" t="s">
        <v>1008</v>
      </c>
      <c r="H71" t="s">
        <v>322</v>
      </c>
      <c r="I71" t="s">
        <v>280</v>
      </c>
      <c r="J71" t="s">
        <v>281</v>
      </c>
      <c r="K71" t="s">
        <v>323</v>
      </c>
      <c r="L71" t="s">
        <v>324</v>
      </c>
      <c r="M71" t="s">
        <v>325</v>
      </c>
      <c r="N71" t="s">
        <v>282</v>
      </c>
      <c r="O71" t="s">
        <v>1008</v>
      </c>
      <c r="P71" t="s">
        <v>322</v>
      </c>
      <c r="Q71" t="s">
        <v>285</v>
      </c>
    </row>
    <row r="72" spans="1:17" ht="13.5">
      <c r="A72" s="238">
        <v>40269</v>
      </c>
      <c r="B72" s="141">
        <v>1365</v>
      </c>
      <c r="C72" s="141" t="s">
        <v>283</v>
      </c>
      <c r="D72" s="141" t="s">
        <v>283</v>
      </c>
      <c r="E72" s="141" t="s">
        <v>283</v>
      </c>
      <c r="F72" s="141" t="s">
        <v>283</v>
      </c>
      <c r="G72" t="s">
        <v>283</v>
      </c>
      <c r="H72" t="s">
        <v>283</v>
      </c>
      <c r="I72" s="238">
        <v>40269</v>
      </c>
      <c r="J72" s="141">
        <v>1365</v>
      </c>
      <c r="K72" s="141" t="s">
        <v>283</v>
      </c>
      <c r="L72" s="141" t="s">
        <v>283</v>
      </c>
      <c r="M72" s="141" t="s">
        <v>283</v>
      </c>
      <c r="N72" s="141" t="s">
        <v>283</v>
      </c>
      <c r="O72">
        <v>0</v>
      </c>
      <c r="P72" t="s">
        <v>283</v>
      </c>
      <c r="Q72" s="141">
        <v>1365</v>
      </c>
    </row>
    <row r="73" spans="1:17" ht="13.5">
      <c r="A73" s="238">
        <v>40330</v>
      </c>
      <c r="B73" s="141">
        <v>1384</v>
      </c>
      <c r="C73" s="141" t="s">
        <v>283</v>
      </c>
      <c r="D73" s="141" t="s">
        <v>283</v>
      </c>
      <c r="E73" s="141" t="s">
        <v>283</v>
      </c>
      <c r="F73" s="141" t="s">
        <v>283</v>
      </c>
      <c r="G73" t="s">
        <v>283</v>
      </c>
      <c r="H73" t="s">
        <v>283</v>
      </c>
      <c r="I73" s="238">
        <v>40330</v>
      </c>
      <c r="J73" s="141">
        <v>1366</v>
      </c>
      <c r="K73" s="141">
        <v>1385</v>
      </c>
      <c r="L73" s="141">
        <v>1387</v>
      </c>
      <c r="M73" s="141">
        <v>1379</v>
      </c>
      <c r="N73" s="141">
        <v>1384</v>
      </c>
      <c r="O73">
        <v>18</v>
      </c>
      <c r="P73">
        <v>6</v>
      </c>
      <c r="Q73" s="141">
        <v>1384</v>
      </c>
    </row>
    <row r="74" spans="1:17" ht="13.5">
      <c r="A74" s="238">
        <v>40391</v>
      </c>
      <c r="B74" s="141">
        <v>1385</v>
      </c>
      <c r="C74" s="141">
        <v>1363</v>
      </c>
      <c r="D74" s="141">
        <v>1363</v>
      </c>
      <c r="E74" s="141">
        <v>1363</v>
      </c>
      <c r="F74" s="141">
        <v>1363</v>
      </c>
      <c r="G74">
        <v>-22</v>
      </c>
      <c r="H74">
        <v>1</v>
      </c>
      <c r="I74" s="238">
        <v>40391</v>
      </c>
      <c r="J74" s="141">
        <v>1365</v>
      </c>
      <c r="K74" s="141">
        <v>1384</v>
      </c>
      <c r="L74" s="141">
        <v>1385</v>
      </c>
      <c r="M74" s="141">
        <v>1383</v>
      </c>
      <c r="N74" s="141">
        <v>1385</v>
      </c>
      <c r="O74">
        <v>20</v>
      </c>
      <c r="P74">
        <v>11</v>
      </c>
      <c r="Q74" s="141">
        <v>1385</v>
      </c>
    </row>
    <row r="75" spans="1:17" ht="13.5">
      <c r="A75" s="238">
        <v>40452</v>
      </c>
      <c r="B75" s="141">
        <v>1371</v>
      </c>
      <c r="C75" s="141" t="s">
        <v>283</v>
      </c>
      <c r="D75" s="141" t="s">
        <v>283</v>
      </c>
      <c r="E75" s="141" t="s">
        <v>283</v>
      </c>
      <c r="F75" s="141" t="s">
        <v>283</v>
      </c>
      <c r="G75" t="s">
        <v>283</v>
      </c>
      <c r="H75" t="s">
        <v>283</v>
      </c>
      <c r="I75" s="238">
        <v>40452</v>
      </c>
      <c r="J75" s="141">
        <v>1363</v>
      </c>
      <c r="K75" s="141">
        <v>1379</v>
      </c>
      <c r="L75" s="141">
        <v>1381</v>
      </c>
      <c r="M75" s="141">
        <v>1371</v>
      </c>
      <c r="N75" s="141">
        <v>1371</v>
      </c>
      <c r="O75">
        <v>8</v>
      </c>
      <c r="P75">
        <v>8</v>
      </c>
      <c r="Q75" s="141">
        <v>1371</v>
      </c>
    </row>
    <row r="76" spans="1:17" ht="13.5">
      <c r="A76" s="238">
        <v>40513</v>
      </c>
      <c r="B76" s="141">
        <v>1370</v>
      </c>
      <c r="C76" s="141">
        <v>1360</v>
      </c>
      <c r="D76" s="141">
        <v>1375</v>
      </c>
      <c r="E76" s="141">
        <v>1360</v>
      </c>
      <c r="F76" s="141">
        <v>1375</v>
      </c>
      <c r="G76">
        <v>5</v>
      </c>
      <c r="H76">
        <v>3</v>
      </c>
      <c r="I76" s="238">
        <v>40513</v>
      </c>
      <c r="J76" s="141">
        <v>1360</v>
      </c>
      <c r="K76" s="141">
        <v>1373</v>
      </c>
      <c r="L76" s="141">
        <v>1382</v>
      </c>
      <c r="M76" s="141">
        <v>1365</v>
      </c>
      <c r="N76" s="141">
        <v>1374</v>
      </c>
      <c r="O76">
        <v>10</v>
      </c>
      <c r="P76">
        <v>49</v>
      </c>
      <c r="Q76" s="141">
        <v>1370</v>
      </c>
    </row>
    <row r="77" spans="1:17" ht="13.5">
      <c r="A77" s="238">
        <v>40575</v>
      </c>
      <c r="B77" s="141">
        <v>1359</v>
      </c>
      <c r="C77" s="141">
        <v>1351</v>
      </c>
      <c r="D77" s="141">
        <v>1373</v>
      </c>
      <c r="E77" s="141">
        <v>1351</v>
      </c>
      <c r="F77" s="141">
        <v>1371</v>
      </c>
      <c r="G77">
        <v>12</v>
      </c>
      <c r="H77">
        <v>44</v>
      </c>
      <c r="I77" s="238">
        <v>40575</v>
      </c>
      <c r="J77" s="141">
        <v>1360</v>
      </c>
      <c r="K77" s="141">
        <v>1378</v>
      </c>
      <c r="L77" s="141">
        <v>1390</v>
      </c>
      <c r="M77" s="141">
        <v>1358</v>
      </c>
      <c r="N77" s="141">
        <v>1358</v>
      </c>
      <c r="O77">
        <v>-1</v>
      </c>
      <c r="P77">
        <v>474</v>
      </c>
      <c r="Q77" s="141">
        <v>1359</v>
      </c>
    </row>
    <row r="78" spans="1:16" ht="13.5">
      <c r="A78" t="s">
        <v>284</v>
      </c>
      <c r="H78">
        <v>48</v>
      </c>
      <c r="I78" t="s">
        <v>284</v>
      </c>
      <c r="P78">
        <v>548</v>
      </c>
    </row>
    <row r="79" ht="13.5">
      <c r="A79" t="s">
        <v>293</v>
      </c>
    </row>
    <row r="80" spans="1:11" ht="13.5">
      <c r="A80" t="s">
        <v>988</v>
      </c>
      <c r="C80" t="s">
        <v>294</v>
      </c>
      <c r="I80" t="s">
        <v>611</v>
      </c>
      <c r="K80" t="s">
        <v>294</v>
      </c>
    </row>
    <row r="81" spans="1:17" ht="13.5">
      <c r="A81" t="s">
        <v>280</v>
      </c>
      <c r="B81" t="s">
        <v>281</v>
      </c>
      <c r="C81" t="s">
        <v>323</v>
      </c>
      <c r="D81" t="s">
        <v>324</v>
      </c>
      <c r="E81" t="s">
        <v>325</v>
      </c>
      <c r="F81" t="s">
        <v>282</v>
      </c>
      <c r="G81" t="s">
        <v>1008</v>
      </c>
      <c r="H81" t="s">
        <v>322</v>
      </c>
      <c r="I81" t="s">
        <v>280</v>
      </c>
      <c r="J81" t="s">
        <v>281</v>
      </c>
      <c r="K81" t="s">
        <v>323</v>
      </c>
      <c r="L81" t="s">
        <v>324</v>
      </c>
      <c r="M81" t="s">
        <v>325</v>
      </c>
      <c r="N81" t="s">
        <v>282</v>
      </c>
      <c r="O81" t="s">
        <v>1008</v>
      </c>
      <c r="P81" t="s">
        <v>322</v>
      </c>
      <c r="Q81" t="s">
        <v>285</v>
      </c>
    </row>
    <row r="82" spans="1:17" ht="13.5">
      <c r="A82" s="238">
        <v>40269</v>
      </c>
      <c r="B82">
        <v>200</v>
      </c>
      <c r="C82" t="s">
        <v>283</v>
      </c>
      <c r="D82" t="s">
        <v>283</v>
      </c>
      <c r="E82" t="s">
        <v>283</v>
      </c>
      <c r="F82" t="s">
        <v>283</v>
      </c>
      <c r="G82" t="s">
        <v>283</v>
      </c>
      <c r="H82" t="s">
        <v>283</v>
      </c>
      <c r="I82" s="238">
        <v>40269</v>
      </c>
      <c r="J82">
        <v>200</v>
      </c>
      <c r="K82" t="s">
        <v>283</v>
      </c>
      <c r="L82" t="s">
        <v>283</v>
      </c>
      <c r="M82" t="s">
        <v>283</v>
      </c>
      <c r="N82" t="s">
        <v>283</v>
      </c>
      <c r="O82">
        <v>0</v>
      </c>
      <c r="P82" t="s">
        <v>283</v>
      </c>
      <c r="Q82">
        <v>200</v>
      </c>
    </row>
    <row r="83" spans="1:17" ht="13.5">
      <c r="A83" s="238">
        <v>40330</v>
      </c>
      <c r="B83">
        <v>200.2</v>
      </c>
      <c r="C83" t="s">
        <v>283</v>
      </c>
      <c r="D83" t="s">
        <v>283</v>
      </c>
      <c r="E83" t="s">
        <v>283</v>
      </c>
      <c r="F83" t="s">
        <v>283</v>
      </c>
      <c r="G83" t="s">
        <v>283</v>
      </c>
      <c r="H83" t="s">
        <v>283</v>
      </c>
      <c r="I83" s="238">
        <v>40330</v>
      </c>
      <c r="J83">
        <v>200</v>
      </c>
      <c r="K83" t="s">
        <v>283</v>
      </c>
      <c r="L83" t="s">
        <v>283</v>
      </c>
      <c r="M83" t="s">
        <v>283</v>
      </c>
      <c r="N83" t="s">
        <v>283</v>
      </c>
      <c r="O83">
        <v>0.2</v>
      </c>
      <c r="P83" t="s">
        <v>283</v>
      </c>
      <c r="Q83">
        <v>200.2</v>
      </c>
    </row>
    <row r="84" spans="1:17" ht="13.5">
      <c r="A84" s="238">
        <v>40391</v>
      </c>
      <c r="B84">
        <v>202.5</v>
      </c>
      <c r="C84" t="s">
        <v>283</v>
      </c>
      <c r="D84" t="s">
        <v>283</v>
      </c>
      <c r="E84" t="s">
        <v>283</v>
      </c>
      <c r="F84" t="s">
        <v>283</v>
      </c>
      <c r="G84" t="s">
        <v>283</v>
      </c>
      <c r="H84" t="s">
        <v>283</v>
      </c>
      <c r="I84" s="238">
        <v>40391</v>
      </c>
      <c r="J84">
        <v>202.5</v>
      </c>
      <c r="K84" t="s">
        <v>283</v>
      </c>
      <c r="L84" t="s">
        <v>283</v>
      </c>
      <c r="M84" t="s">
        <v>283</v>
      </c>
      <c r="N84" t="s">
        <v>283</v>
      </c>
      <c r="O84">
        <v>0</v>
      </c>
      <c r="P84" t="s">
        <v>283</v>
      </c>
      <c r="Q84">
        <v>202.5</v>
      </c>
    </row>
    <row r="85" spans="1:17" ht="13.5">
      <c r="A85" s="238">
        <v>40452</v>
      </c>
      <c r="B85">
        <v>215.8</v>
      </c>
      <c r="C85" t="s">
        <v>283</v>
      </c>
      <c r="D85" t="s">
        <v>283</v>
      </c>
      <c r="E85" t="s">
        <v>283</v>
      </c>
      <c r="F85" t="s">
        <v>283</v>
      </c>
      <c r="G85" t="s">
        <v>283</v>
      </c>
      <c r="H85" t="s">
        <v>283</v>
      </c>
      <c r="I85" s="238">
        <v>40452</v>
      </c>
      <c r="J85">
        <v>215.8</v>
      </c>
      <c r="K85" t="s">
        <v>283</v>
      </c>
      <c r="L85" t="s">
        <v>283</v>
      </c>
      <c r="M85" t="s">
        <v>283</v>
      </c>
      <c r="N85" t="s">
        <v>283</v>
      </c>
      <c r="O85">
        <v>0</v>
      </c>
      <c r="P85" t="s">
        <v>283</v>
      </c>
      <c r="Q85">
        <v>215.8</v>
      </c>
    </row>
    <row r="86" spans="1:16" ht="13.5">
      <c r="A86" s="238" t="s">
        <v>284</v>
      </c>
      <c r="H86">
        <v>0</v>
      </c>
      <c r="I86" s="238" t="s">
        <v>284</v>
      </c>
      <c r="P86">
        <v>0</v>
      </c>
    </row>
    <row r="87" ht="13.5">
      <c r="A87" t="s">
        <v>295</v>
      </c>
    </row>
    <row r="88" spans="1:11" ht="13.5">
      <c r="A88" t="s">
        <v>988</v>
      </c>
      <c r="C88" t="s">
        <v>296</v>
      </c>
      <c r="I88" t="s">
        <v>611</v>
      </c>
      <c r="K88" t="s">
        <v>296</v>
      </c>
    </row>
    <row r="89" spans="1:17" ht="13.5">
      <c r="A89" t="s">
        <v>280</v>
      </c>
      <c r="B89" t="s">
        <v>281</v>
      </c>
      <c r="C89" t="s">
        <v>323</v>
      </c>
      <c r="D89" t="s">
        <v>324</v>
      </c>
      <c r="E89" t="s">
        <v>325</v>
      </c>
      <c r="F89" t="s">
        <v>282</v>
      </c>
      <c r="G89" t="s">
        <v>1008</v>
      </c>
      <c r="H89" t="s">
        <v>322</v>
      </c>
      <c r="I89" t="s">
        <v>280</v>
      </c>
      <c r="J89" t="s">
        <v>281</v>
      </c>
      <c r="K89" t="s">
        <v>323</v>
      </c>
      <c r="L89" t="s">
        <v>324</v>
      </c>
      <c r="M89" t="s">
        <v>325</v>
      </c>
      <c r="N89" t="s">
        <v>282</v>
      </c>
      <c r="O89" t="s">
        <v>1008</v>
      </c>
      <c r="P89" t="s">
        <v>322</v>
      </c>
      <c r="Q89" t="s">
        <v>285</v>
      </c>
    </row>
    <row r="90" spans="1:17" ht="13.5">
      <c r="A90" s="238">
        <v>40269</v>
      </c>
      <c r="B90" s="141">
        <v>56000</v>
      </c>
      <c r="C90" s="141">
        <v>55950</v>
      </c>
      <c r="D90" s="141">
        <v>56000</v>
      </c>
      <c r="E90" s="141">
        <v>55950</v>
      </c>
      <c r="F90" s="141">
        <v>56000</v>
      </c>
      <c r="G90">
        <v>0</v>
      </c>
      <c r="H90">
        <v>27</v>
      </c>
      <c r="I90" s="238">
        <v>40269</v>
      </c>
      <c r="J90" s="141">
        <v>56100</v>
      </c>
      <c r="K90" s="141">
        <v>56080</v>
      </c>
      <c r="L90" s="141">
        <v>56310</v>
      </c>
      <c r="M90" s="141">
        <v>55990</v>
      </c>
      <c r="N90" s="141">
        <v>56000</v>
      </c>
      <c r="O90" s="141">
        <v>-100</v>
      </c>
      <c r="P90">
        <v>146</v>
      </c>
      <c r="Q90" s="141">
        <v>56000</v>
      </c>
    </row>
    <row r="91" spans="1:17" ht="13.5">
      <c r="A91" s="238">
        <v>40299</v>
      </c>
      <c r="B91" s="141">
        <v>56400</v>
      </c>
      <c r="C91" s="141">
        <v>56200</v>
      </c>
      <c r="D91" s="141">
        <v>56400</v>
      </c>
      <c r="E91" s="141">
        <v>55900</v>
      </c>
      <c r="F91" s="141">
        <v>56400</v>
      </c>
      <c r="G91" s="141">
        <v>0</v>
      </c>
      <c r="H91">
        <v>233</v>
      </c>
      <c r="I91" s="238">
        <v>40299</v>
      </c>
      <c r="J91" s="141">
        <v>56330</v>
      </c>
      <c r="K91" s="141">
        <v>56370</v>
      </c>
      <c r="L91" s="141">
        <v>56500</v>
      </c>
      <c r="M91" s="141">
        <v>56270</v>
      </c>
      <c r="N91" s="141">
        <v>56450</v>
      </c>
      <c r="O91" s="141">
        <v>70</v>
      </c>
      <c r="P91">
        <v>273</v>
      </c>
      <c r="Q91" s="141">
        <v>56400</v>
      </c>
    </row>
    <row r="92" spans="1:17" ht="13.5">
      <c r="A92" s="238">
        <v>40330</v>
      </c>
      <c r="B92" s="141">
        <v>56180</v>
      </c>
      <c r="C92" s="141">
        <v>56010</v>
      </c>
      <c r="D92" s="141">
        <v>56010</v>
      </c>
      <c r="E92" s="141">
        <v>55810</v>
      </c>
      <c r="F92" s="141">
        <v>55840</v>
      </c>
      <c r="G92" s="141">
        <v>-340</v>
      </c>
      <c r="H92">
        <v>219</v>
      </c>
      <c r="I92" s="238">
        <v>40330</v>
      </c>
      <c r="J92" s="141">
        <v>56280</v>
      </c>
      <c r="K92" s="141">
        <v>56550</v>
      </c>
      <c r="L92" s="141">
        <v>56550</v>
      </c>
      <c r="M92" s="141">
        <v>56160</v>
      </c>
      <c r="N92" s="141">
        <v>56180</v>
      </c>
      <c r="O92" s="141">
        <v>-100</v>
      </c>
      <c r="P92">
        <v>419</v>
      </c>
      <c r="Q92" s="141">
        <v>56180</v>
      </c>
    </row>
    <row r="93" spans="1:17" ht="13.5">
      <c r="A93" s="238">
        <v>40360</v>
      </c>
      <c r="B93" s="141">
        <v>55900</v>
      </c>
      <c r="C93" s="141">
        <v>55720</v>
      </c>
      <c r="D93" s="141">
        <v>56080</v>
      </c>
      <c r="E93" s="141">
        <v>55470</v>
      </c>
      <c r="F93" s="141">
        <v>56030</v>
      </c>
      <c r="G93">
        <v>130</v>
      </c>
      <c r="H93">
        <v>242</v>
      </c>
      <c r="I93" s="238">
        <v>40360</v>
      </c>
      <c r="J93" s="141">
        <v>56020</v>
      </c>
      <c r="K93" s="141">
        <v>56330</v>
      </c>
      <c r="L93" s="141">
        <v>56350</v>
      </c>
      <c r="M93" s="141">
        <v>55880</v>
      </c>
      <c r="N93" s="141">
        <v>55900</v>
      </c>
      <c r="O93" s="141">
        <v>-120</v>
      </c>
      <c r="P93">
        <v>336</v>
      </c>
      <c r="Q93" s="141">
        <v>55900</v>
      </c>
    </row>
    <row r="94" spans="1:17" ht="13.5">
      <c r="A94" s="238">
        <v>40391</v>
      </c>
      <c r="B94" s="141">
        <v>55640</v>
      </c>
      <c r="C94" s="141">
        <v>55490</v>
      </c>
      <c r="D94" s="141">
        <v>55830</v>
      </c>
      <c r="E94" s="141">
        <v>55150</v>
      </c>
      <c r="F94" s="141">
        <v>55830</v>
      </c>
      <c r="G94">
        <v>190</v>
      </c>
      <c r="H94" s="141">
        <v>482</v>
      </c>
      <c r="I94" s="238">
        <v>40391</v>
      </c>
      <c r="J94" s="141">
        <v>55830</v>
      </c>
      <c r="K94" s="141">
        <v>56210</v>
      </c>
      <c r="L94" s="141">
        <v>56210</v>
      </c>
      <c r="M94" s="141">
        <v>55610</v>
      </c>
      <c r="N94" s="141">
        <v>55610</v>
      </c>
      <c r="O94" s="141">
        <v>-190</v>
      </c>
      <c r="P94" s="141">
        <v>893</v>
      </c>
      <c r="Q94" s="141">
        <v>55640</v>
      </c>
    </row>
    <row r="95" spans="1:17" ht="13.5">
      <c r="A95" s="238">
        <v>40422</v>
      </c>
      <c r="B95" s="141">
        <v>55210</v>
      </c>
      <c r="C95" s="141">
        <v>54960</v>
      </c>
      <c r="D95" s="141">
        <v>55410</v>
      </c>
      <c r="E95" s="141">
        <v>54720</v>
      </c>
      <c r="F95" s="141">
        <v>55290</v>
      </c>
      <c r="G95">
        <v>80</v>
      </c>
      <c r="H95" s="141">
        <v>2906</v>
      </c>
      <c r="I95" s="238">
        <v>40422</v>
      </c>
      <c r="J95" s="141">
        <v>55440</v>
      </c>
      <c r="K95" s="141">
        <v>55800</v>
      </c>
      <c r="L95" s="141">
        <v>55820</v>
      </c>
      <c r="M95" s="141">
        <v>55170</v>
      </c>
      <c r="N95" s="141">
        <v>55170</v>
      </c>
      <c r="O95" s="141">
        <v>-230</v>
      </c>
      <c r="P95" s="141">
        <v>3956</v>
      </c>
      <c r="Q95" s="141">
        <v>55210</v>
      </c>
    </row>
    <row r="96" spans="1:17" ht="13.5">
      <c r="A96" s="238" t="s">
        <v>284</v>
      </c>
      <c r="B96" s="141"/>
      <c r="C96" s="141"/>
      <c r="D96" s="141"/>
      <c r="E96" s="141"/>
      <c r="F96" s="141"/>
      <c r="H96" s="141">
        <v>4109</v>
      </c>
      <c r="I96" s="238" t="s">
        <v>284</v>
      </c>
      <c r="J96" s="141"/>
      <c r="K96" s="141"/>
      <c r="L96" s="141"/>
      <c r="M96" s="141"/>
      <c r="N96" s="141"/>
      <c r="O96" s="141"/>
      <c r="P96" s="141">
        <v>6023</v>
      </c>
      <c r="Q96" s="141"/>
    </row>
    <row r="97" spans="1:16" ht="13.5">
      <c r="A97" t="s">
        <v>297</v>
      </c>
      <c r="H97" s="141"/>
      <c r="P97" s="141"/>
    </row>
    <row r="98" spans="1:11" ht="13.5">
      <c r="A98" t="s">
        <v>988</v>
      </c>
      <c r="C98" t="s">
        <v>296</v>
      </c>
      <c r="I98" t="s">
        <v>611</v>
      </c>
      <c r="K98" t="s">
        <v>296</v>
      </c>
    </row>
    <row r="99" spans="1:17" ht="13.5">
      <c r="A99" t="s">
        <v>280</v>
      </c>
      <c r="B99" t="s">
        <v>281</v>
      </c>
      <c r="C99" t="s">
        <v>323</v>
      </c>
      <c r="D99" t="s">
        <v>324</v>
      </c>
      <c r="E99" t="s">
        <v>325</v>
      </c>
      <c r="F99" t="s">
        <v>282</v>
      </c>
      <c r="G99" t="s">
        <v>1008</v>
      </c>
      <c r="H99" t="s">
        <v>322</v>
      </c>
      <c r="I99" t="s">
        <v>280</v>
      </c>
      <c r="J99" t="s">
        <v>281</v>
      </c>
      <c r="K99" t="s">
        <v>323</v>
      </c>
      <c r="L99" t="s">
        <v>324</v>
      </c>
      <c r="M99" t="s">
        <v>325</v>
      </c>
      <c r="N99" t="s">
        <v>282</v>
      </c>
      <c r="O99" t="s">
        <v>1008</v>
      </c>
      <c r="P99" t="s">
        <v>322</v>
      </c>
      <c r="Q99" t="s">
        <v>285</v>
      </c>
    </row>
    <row r="100" spans="1:17" ht="13.5">
      <c r="A100" s="238">
        <v>40269</v>
      </c>
      <c r="B100" s="141">
        <v>52860</v>
      </c>
      <c r="C100" s="141">
        <v>52640</v>
      </c>
      <c r="D100" s="141">
        <v>52650</v>
      </c>
      <c r="E100" s="141">
        <v>52640</v>
      </c>
      <c r="F100" s="141">
        <v>52640</v>
      </c>
      <c r="G100">
        <v>-220</v>
      </c>
      <c r="H100">
        <v>20</v>
      </c>
      <c r="I100" s="238">
        <v>40269</v>
      </c>
      <c r="J100" s="141">
        <v>52940</v>
      </c>
      <c r="K100" s="141">
        <v>53000</v>
      </c>
      <c r="L100" s="141">
        <v>53010</v>
      </c>
      <c r="M100" s="141">
        <v>52730</v>
      </c>
      <c r="N100" s="141">
        <v>52800</v>
      </c>
      <c r="O100" s="141">
        <v>-80</v>
      </c>
      <c r="P100">
        <v>506</v>
      </c>
      <c r="Q100" s="141">
        <v>52860</v>
      </c>
    </row>
    <row r="101" spans="1:17" ht="13.5">
      <c r="A101" s="238">
        <v>40299</v>
      </c>
      <c r="B101" s="141">
        <v>52560</v>
      </c>
      <c r="C101" s="141">
        <v>52310</v>
      </c>
      <c r="D101" s="141">
        <v>52630</v>
      </c>
      <c r="E101" s="141">
        <v>52140</v>
      </c>
      <c r="F101" s="141">
        <v>52630</v>
      </c>
      <c r="G101">
        <v>70</v>
      </c>
      <c r="H101">
        <v>21</v>
      </c>
      <c r="I101" s="238">
        <v>40299</v>
      </c>
      <c r="J101" s="141">
        <v>52700</v>
      </c>
      <c r="K101" s="141">
        <v>52800</v>
      </c>
      <c r="L101" s="141">
        <v>52800</v>
      </c>
      <c r="M101" s="141">
        <v>52490</v>
      </c>
      <c r="N101" s="141">
        <v>52520</v>
      </c>
      <c r="O101" s="141">
        <v>-140</v>
      </c>
      <c r="P101">
        <v>235</v>
      </c>
      <c r="Q101" s="141">
        <v>52560</v>
      </c>
    </row>
    <row r="102" spans="1:17" ht="13.5">
      <c r="A102" s="238">
        <v>40330</v>
      </c>
      <c r="B102" s="141">
        <v>52640</v>
      </c>
      <c r="C102" s="141">
        <v>52400</v>
      </c>
      <c r="D102" s="141">
        <v>52790</v>
      </c>
      <c r="E102" s="141">
        <v>52160</v>
      </c>
      <c r="F102" s="141">
        <v>52790</v>
      </c>
      <c r="G102">
        <v>150</v>
      </c>
      <c r="H102">
        <v>68</v>
      </c>
      <c r="I102" s="238">
        <v>40330</v>
      </c>
      <c r="J102" s="141">
        <v>52790</v>
      </c>
      <c r="K102" s="141">
        <v>53060</v>
      </c>
      <c r="L102" s="141">
        <v>53060</v>
      </c>
      <c r="M102" s="141">
        <v>52540</v>
      </c>
      <c r="N102" s="141">
        <v>52700</v>
      </c>
      <c r="O102" s="141">
        <v>-150</v>
      </c>
      <c r="P102">
        <v>220</v>
      </c>
      <c r="Q102" s="141">
        <v>52640</v>
      </c>
    </row>
    <row r="103" spans="1:17" ht="13.5">
      <c r="A103" s="238">
        <v>40360</v>
      </c>
      <c r="B103" s="141">
        <v>52710</v>
      </c>
      <c r="C103" s="141">
        <v>52630</v>
      </c>
      <c r="D103" s="141">
        <v>52820</v>
      </c>
      <c r="E103" s="141">
        <v>52220</v>
      </c>
      <c r="F103" s="141">
        <v>52740</v>
      </c>
      <c r="G103">
        <v>30</v>
      </c>
      <c r="H103">
        <v>93</v>
      </c>
      <c r="I103" s="238">
        <v>40360</v>
      </c>
      <c r="J103" s="141">
        <v>52860</v>
      </c>
      <c r="K103" s="141">
        <v>53120</v>
      </c>
      <c r="L103" s="141">
        <v>53120</v>
      </c>
      <c r="M103" s="141">
        <v>52610</v>
      </c>
      <c r="N103" s="141">
        <v>52690</v>
      </c>
      <c r="O103" s="141">
        <v>-150</v>
      </c>
      <c r="P103">
        <v>166</v>
      </c>
      <c r="Q103" s="141">
        <v>52710</v>
      </c>
    </row>
    <row r="104" spans="1:17" ht="13.5">
      <c r="A104" s="238">
        <v>40391</v>
      </c>
      <c r="B104" s="141">
        <v>52850</v>
      </c>
      <c r="C104" s="141">
        <v>52670</v>
      </c>
      <c r="D104" s="141">
        <v>53030</v>
      </c>
      <c r="E104" s="141">
        <v>52400</v>
      </c>
      <c r="F104" s="141">
        <v>53030</v>
      </c>
      <c r="G104">
        <v>180</v>
      </c>
      <c r="H104">
        <v>113</v>
      </c>
      <c r="I104" s="238">
        <v>40391</v>
      </c>
      <c r="J104" s="141">
        <v>53010</v>
      </c>
      <c r="K104" s="141">
        <v>53260</v>
      </c>
      <c r="L104" s="141">
        <v>53330</v>
      </c>
      <c r="M104" s="141">
        <v>52750</v>
      </c>
      <c r="N104" s="141">
        <v>52840</v>
      </c>
      <c r="O104" s="141">
        <v>-160</v>
      </c>
      <c r="P104" s="141">
        <v>428</v>
      </c>
      <c r="Q104" s="141">
        <v>52850</v>
      </c>
    </row>
    <row r="105" spans="1:17" ht="13.5">
      <c r="A105" s="238">
        <v>40422</v>
      </c>
      <c r="B105" s="141">
        <v>53200</v>
      </c>
      <c r="C105" s="141">
        <v>53030</v>
      </c>
      <c r="D105" s="141">
        <v>53450</v>
      </c>
      <c r="E105" s="141">
        <v>52730</v>
      </c>
      <c r="F105" s="141">
        <v>53360</v>
      </c>
      <c r="G105">
        <v>160</v>
      </c>
      <c r="H105">
        <v>578</v>
      </c>
      <c r="I105" s="238">
        <v>40422</v>
      </c>
      <c r="J105" s="141">
        <v>53390</v>
      </c>
      <c r="K105" s="141">
        <v>53640</v>
      </c>
      <c r="L105" s="141">
        <v>53730</v>
      </c>
      <c r="M105" s="141">
        <v>53100</v>
      </c>
      <c r="N105" s="141">
        <v>53190</v>
      </c>
      <c r="O105" s="141">
        <v>-190</v>
      </c>
      <c r="P105" s="141">
        <v>1165</v>
      </c>
      <c r="Q105" s="141">
        <v>53200</v>
      </c>
    </row>
    <row r="106" spans="1:17" ht="13.5">
      <c r="A106" s="238" t="s">
        <v>284</v>
      </c>
      <c r="B106" s="141"/>
      <c r="C106" s="141"/>
      <c r="D106" s="141"/>
      <c r="E106" s="141"/>
      <c r="F106" s="141"/>
      <c r="H106" s="141">
        <v>893</v>
      </c>
      <c r="I106" s="238" t="s">
        <v>284</v>
      </c>
      <c r="J106" s="141"/>
      <c r="K106" s="141"/>
      <c r="L106" s="141"/>
      <c r="M106" s="141"/>
      <c r="N106" s="141"/>
      <c r="O106" s="141"/>
      <c r="P106" s="141">
        <v>2720</v>
      </c>
      <c r="Q106" s="141"/>
    </row>
    <row r="107" spans="1:16" ht="13.5">
      <c r="A107" t="s">
        <v>298</v>
      </c>
      <c r="H107" s="141"/>
      <c r="P107" s="141"/>
    </row>
    <row r="108" spans="1:11" ht="13.5">
      <c r="A108" t="s">
        <v>988</v>
      </c>
      <c r="C108" t="s">
        <v>296</v>
      </c>
      <c r="I108" t="s">
        <v>611</v>
      </c>
      <c r="K108" t="s">
        <v>296</v>
      </c>
    </row>
    <row r="109" spans="1:17" ht="13.5">
      <c r="A109" t="s">
        <v>280</v>
      </c>
      <c r="B109" t="s">
        <v>281</v>
      </c>
      <c r="C109" t="s">
        <v>323</v>
      </c>
      <c r="D109" t="s">
        <v>324</v>
      </c>
      <c r="E109" t="s">
        <v>325</v>
      </c>
      <c r="F109" t="s">
        <v>282</v>
      </c>
      <c r="G109" t="s">
        <v>1008</v>
      </c>
      <c r="H109" t="s">
        <v>322</v>
      </c>
      <c r="I109" t="s">
        <v>280</v>
      </c>
      <c r="J109" t="s">
        <v>281</v>
      </c>
      <c r="K109" t="s">
        <v>323</v>
      </c>
      <c r="L109" t="s">
        <v>324</v>
      </c>
      <c r="M109" t="s">
        <v>325</v>
      </c>
      <c r="N109" t="s">
        <v>282</v>
      </c>
      <c r="O109" t="s">
        <v>1008</v>
      </c>
      <c r="P109" t="s">
        <v>322</v>
      </c>
      <c r="Q109" t="s">
        <v>285</v>
      </c>
    </row>
    <row r="110" spans="1:17" ht="13.5">
      <c r="A110" s="238">
        <v>40238</v>
      </c>
      <c r="B110" s="141">
        <v>44000</v>
      </c>
      <c r="C110" s="141" t="s">
        <v>283</v>
      </c>
      <c r="D110" s="141" t="s">
        <v>283</v>
      </c>
      <c r="E110" s="141" t="s">
        <v>283</v>
      </c>
      <c r="F110" s="141" t="s">
        <v>283</v>
      </c>
      <c r="G110" t="s">
        <v>283</v>
      </c>
      <c r="H110" t="s">
        <v>283</v>
      </c>
      <c r="I110" s="238">
        <v>40238</v>
      </c>
      <c r="J110" s="141">
        <v>44000</v>
      </c>
      <c r="K110" s="141">
        <v>44000</v>
      </c>
      <c r="L110" s="141">
        <v>44000</v>
      </c>
      <c r="M110" s="141">
        <v>43900</v>
      </c>
      <c r="N110" s="141">
        <v>44000</v>
      </c>
      <c r="O110">
        <v>0</v>
      </c>
      <c r="P110">
        <v>18</v>
      </c>
      <c r="Q110" s="141">
        <v>44000</v>
      </c>
    </row>
    <row r="111" spans="1:17" ht="13.5">
      <c r="A111" s="238">
        <v>40269</v>
      </c>
      <c r="B111" s="141">
        <v>44700</v>
      </c>
      <c r="C111" s="141" t="s">
        <v>283</v>
      </c>
      <c r="D111" s="141" t="s">
        <v>283</v>
      </c>
      <c r="E111" s="141" t="s">
        <v>283</v>
      </c>
      <c r="F111" s="141" t="s">
        <v>283</v>
      </c>
      <c r="G111" t="s">
        <v>283</v>
      </c>
      <c r="H111" t="s">
        <v>283</v>
      </c>
      <c r="I111" s="238">
        <v>40269</v>
      </c>
      <c r="J111" s="141">
        <v>44900</v>
      </c>
      <c r="K111" s="141">
        <v>44670</v>
      </c>
      <c r="L111" s="141">
        <v>44700</v>
      </c>
      <c r="M111" s="141">
        <v>44660</v>
      </c>
      <c r="N111" s="141">
        <v>44700</v>
      </c>
      <c r="O111" s="141">
        <v>-200</v>
      </c>
      <c r="P111">
        <v>12</v>
      </c>
      <c r="Q111" s="141">
        <v>44700</v>
      </c>
    </row>
    <row r="112" spans="1:17" ht="13.5">
      <c r="A112" s="238">
        <v>40299</v>
      </c>
      <c r="B112" s="141">
        <v>44850</v>
      </c>
      <c r="C112" s="141">
        <v>44700</v>
      </c>
      <c r="D112" s="141">
        <v>44880</v>
      </c>
      <c r="E112" s="141">
        <v>44660</v>
      </c>
      <c r="F112" s="141">
        <v>44880</v>
      </c>
      <c r="G112">
        <v>30</v>
      </c>
      <c r="H112">
        <v>77</v>
      </c>
      <c r="I112" s="238">
        <v>40299</v>
      </c>
      <c r="J112" s="141">
        <v>45120</v>
      </c>
      <c r="K112" s="141">
        <v>45120</v>
      </c>
      <c r="L112" s="141">
        <v>45120</v>
      </c>
      <c r="M112" s="141">
        <v>44820</v>
      </c>
      <c r="N112" s="141">
        <v>44850</v>
      </c>
      <c r="O112" s="141">
        <v>-270</v>
      </c>
      <c r="P112">
        <v>50</v>
      </c>
      <c r="Q112" s="141">
        <v>44850</v>
      </c>
    </row>
    <row r="113" spans="1:17" ht="13.5">
      <c r="A113" s="238">
        <v>40330</v>
      </c>
      <c r="B113" s="141">
        <v>45080</v>
      </c>
      <c r="C113" s="141">
        <v>44890</v>
      </c>
      <c r="D113" s="141">
        <v>45220</v>
      </c>
      <c r="E113" s="141">
        <v>44670</v>
      </c>
      <c r="F113" s="141">
        <v>45220</v>
      </c>
      <c r="G113">
        <v>140</v>
      </c>
      <c r="H113">
        <v>37</v>
      </c>
      <c r="I113" s="238">
        <v>40330</v>
      </c>
      <c r="J113" s="141">
        <v>45340</v>
      </c>
      <c r="K113" s="141">
        <v>45420</v>
      </c>
      <c r="L113" s="141">
        <v>45420</v>
      </c>
      <c r="M113" s="141">
        <v>45030</v>
      </c>
      <c r="N113" s="141">
        <v>45100</v>
      </c>
      <c r="O113" s="141">
        <v>-260</v>
      </c>
      <c r="P113">
        <v>40</v>
      </c>
      <c r="Q113" s="141">
        <v>45080</v>
      </c>
    </row>
    <row r="114" spans="1:17" ht="13.5">
      <c r="A114" s="238">
        <v>40360</v>
      </c>
      <c r="B114" s="141">
        <v>45250</v>
      </c>
      <c r="C114" s="141">
        <v>45160</v>
      </c>
      <c r="D114" s="141">
        <v>45370</v>
      </c>
      <c r="E114" s="141">
        <v>44780</v>
      </c>
      <c r="F114" s="141">
        <v>45370</v>
      </c>
      <c r="G114">
        <v>120</v>
      </c>
      <c r="H114">
        <v>497</v>
      </c>
      <c r="I114" s="238">
        <v>40360</v>
      </c>
      <c r="J114" s="141">
        <v>45520</v>
      </c>
      <c r="K114" s="141">
        <v>45800</v>
      </c>
      <c r="L114" s="141">
        <v>45800</v>
      </c>
      <c r="M114" s="141">
        <v>45200</v>
      </c>
      <c r="N114" s="141">
        <v>45260</v>
      </c>
      <c r="O114" s="141">
        <v>-270</v>
      </c>
      <c r="P114" s="141">
        <v>164</v>
      </c>
      <c r="Q114" s="141">
        <v>45250</v>
      </c>
    </row>
    <row r="115" spans="1:17" ht="13.5">
      <c r="A115" s="238">
        <v>40391</v>
      </c>
      <c r="B115" s="141">
        <v>45400</v>
      </c>
      <c r="C115" s="141">
        <v>45250</v>
      </c>
      <c r="D115" s="141">
        <v>45620</v>
      </c>
      <c r="E115" s="141">
        <v>44930</v>
      </c>
      <c r="F115" s="141">
        <v>45610</v>
      </c>
      <c r="G115">
        <v>210</v>
      </c>
      <c r="H115" s="141">
        <v>886</v>
      </c>
      <c r="I115" s="238">
        <v>40391</v>
      </c>
      <c r="J115" s="141">
        <v>45690</v>
      </c>
      <c r="K115" s="141">
        <v>45920</v>
      </c>
      <c r="L115" s="141">
        <v>45930</v>
      </c>
      <c r="M115" s="141">
        <v>45350</v>
      </c>
      <c r="N115" s="141">
        <v>45400</v>
      </c>
      <c r="O115" s="141">
        <v>-290</v>
      </c>
      <c r="P115" s="141">
        <v>1294</v>
      </c>
      <c r="Q115" s="141">
        <v>45400</v>
      </c>
    </row>
    <row r="116" spans="1:17" ht="13.5">
      <c r="A116" s="238" t="s">
        <v>284</v>
      </c>
      <c r="B116" s="141"/>
      <c r="C116" s="141"/>
      <c r="D116" s="141"/>
      <c r="E116" s="141"/>
      <c r="F116" s="141"/>
      <c r="H116" s="141">
        <v>1497</v>
      </c>
      <c r="I116" s="238" t="s">
        <v>284</v>
      </c>
      <c r="J116" s="141"/>
      <c r="K116" s="141"/>
      <c r="L116" s="141"/>
      <c r="M116" s="141"/>
      <c r="N116" s="141"/>
      <c r="O116" s="141"/>
      <c r="P116" s="141">
        <v>1578</v>
      </c>
      <c r="Q116" s="141"/>
    </row>
    <row r="117" spans="1:16" ht="13.5">
      <c r="A117" t="s">
        <v>299</v>
      </c>
      <c r="H117" s="141"/>
      <c r="P117" s="141"/>
    </row>
    <row r="118" spans="1:11" ht="13.5">
      <c r="A118" t="s">
        <v>988</v>
      </c>
      <c r="C118" t="s">
        <v>294</v>
      </c>
      <c r="I118" t="s">
        <v>611</v>
      </c>
      <c r="K118" t="s">
        <v>294</v>
      </c>
    </row>
    <row r="119" spans="1:17" ht="13.5">
      <c r="A119" t="s">
        <v>280</v>
      </c>
      <c r="B119" t="s">
        <v>281</v>
      </c>
      <c r="C119" t="s">
        <v>323</v>
      </c>
      <c r="D119" t="s">
        <v>324</v>
      </c>
      <c r="E119" t="s">
        <v>325</v>
      </c>
      <c r="F119" t="s">
        <v>282</v>
      </c>
      <c r="G119" t="s">
        <v>1008</v>
      </c>
      <c r="H119" t="s">
        <v>322</v>
      </c>
      <c r="I119" t="s">
        <v>280</v>
      </c>
      <c r="J119" t="s">
        <v>281</v>
      </c>
      <c r="K119" t="s">
        <v>323</v>
      </c>
      <c r="L119" t="s">
        <v>324</v>
      </c>
      <c r="M119" t="s">
        <v>325</v>
      </c>
      <c r="N119" t="s">
        <v>282</v>
      </c>
      <c r="O119" t="s">
        <v>1008</v>
      </c>
      <c r="P119" t="s">
        <v>322</v>
      </c>
      <c r="Q119" t="s">
        <v>285</v>
      </c>
    </row>
    <row r="120" spans="1:17" ht="13.5">
      <c r="A120" s="238">
        <v>40238</v>
      </c>
      <c r="B120">
        <v>302</v>
      </c>
      <c r="C120" t="s">
        <v>283</v>
      </c>
      <c r="D120" t="s">
        <v>283</v>
      </c>
      <c r="E120" t="s">
        <v>283</v>
      </c>
      <c r="F120" t="s">
        <v>283</v>
      </c>
      <c r="G120" t="s">
        <v>283</v>
      </c>
      <c r="H120" t="s">
        <v>283</v>
      </c>
      <c r="I120" s="238">
        <v>40238</v>
      </c>
      <c r="J120">
        <v>304.5</v>
      </c>
      <c r="K120">
        <v>302</v>
      </c>
      <c r="L120">
        <v>302.2</v>
      </c>
      <c r="M120">
        <v>302</v>
      </c>
      <c r="N120">
        <v>302</v>
      </c>
      <c r="O120">
        <v>-2.5</v>
      </c>
      <c r="P120">
        <v>7</v>
      </c>
      <c r="Q120">
        <v>302</v>
      </c>
    </row>
    <row r="121" spans="1:17" ht="13.5">
      <c r="A121" s="238">
        <v>40269</v>
      </c>
      <c r="B121">
        <v>303.1</v>
      </c>
      <c r="C121" t="s">
        <v>283</v>
      </c>
      <c r="D121" t="s">
        <v>283</v>
      </c>
      <c r="E121" t="s">
        <v>283</v>
      </c>
      <c r="F121" t="s">
        <v>283</v>
      </c>
      <c r="G121" t="s">
        <v>283</v>
      </c>
      <c r="H121" t="s">
        <v>283</v>
      </c>
      <c r="I121" s="238">
        <v>40269</v>
      </c>
      <c r="J121">
        <v>303.5</v>
      </c>
      <c r="K121">
        <v>301</v>
      </c>
      <c r="L121">
        <v>304.9</v>
      </c>
      <c r="M121">
        <v>300</v>
      </c>
      <c r="N121">
        <v>303.1</v>
      </c>
      <c r="O121">
        <v>-0.4</v>
      </c>
      <c r="P121">
        <v>22</v>
      </c>
      <c r="Q121">
        <v>303.1</v>
      </c>
    </row>
    <row r="122" spans="1:17" ht="13.5">
      <c r="A122" s="238">
        <v>40299</v>
      </c>
      <c r="B122">
        <v>297.8</v>
      </c>
      <c r="C122" t="s">
        <v>283</v>
      </c>
      <c r="D122" t="s">
        <v>283</v>
      </c>
      <c r="E122" t="s">
        <v>283</v>
      </c>
      <c r="F122" t="s">
        <v>283</v>
      </c>
      <c r="G122" t="s">
        <v>283</v>
      </c>
      <c r="H122" t="s">
        <v>283</v>
      </c>
      <c r="I122" s="238">
        <v>40299</v>
      </c>
      <c r="J122">
        <v>299</v>
      </c>
      <c r="K122">
        <v>297</v>
      </c>
      <c r="L122">
        <v>300.9</v>
      </c>
      <c r="M122">
        <v>296.1</v>
      </c>
      <c r="N122">
        <v>297.8</v>
      </c>
      <c r="O122">
        <v>-1.2</v>
      </c>
      <c r="P122">
        <v>55</v>
      </c>
      <c r="Q122">
        <v>297.8</v>
      </c>
    </row>
    <row r="123" spans="1:17" ht="13.5">
      <c r="A123" s="238">
        <v>40330</v>
      </c>
      <c r="B123">
        <v>293</v>
      </c>
      <c r="C123">
        <v>293.8</v>
      </c>
      <c r="D123">
        <v>293.8</v>
      </c>
      <c r="E123">
        <v>293.8</v>
      </c>
      <c r="F123">
        <v>293.8</v>
      </c>
      <c r="G123">
        <v>0.8</v>
      </c>
      <c r="H123">
        <v>4</v>
      </c>
      <c r="I123" s="238">
        <v>40330</v>
      </c>
      <c r="J123">
        <v>295.1</v>
      </c>
      <c r="K123">
        <v>293.2</v>
      </c>
      <c r="L123">
        <v>296.5</v>
      </c>
      <c r="M123">
        <v>292.3</v>
      </c>
      <c r="N123">
        <v>293</v>
      </c>
      <c r="O123">
        <v>-2.1</v>
      </c>
      <c r="P123">
        <v>231</v>
      </c>
      <c r="Q123">
        <v>293</v>
      </c>
    </row>
    <row r="124" spans="1:17" ht="13.5">
      <c r="A124" s="238">
        <v>40360</v>
      </c>
      <c r="B124">
        <v>288.3</v>
      </c>
      <c r="C124">
        <v>288.2</v>
      </c>
      <c r="D124">
        <v>289.2</v>
      </c>
      <c r="E124">
        <v>288.2</v>
      </c>
      <c r="F124">
        <v>288.9</v>
      </c>
      <c r="G124">
        <v>0.6</v>
      </c>
      <c r="H124">
        <v>28</v>
      </c>
      <c r="I124" s="238">
        <v>40360</v>
      </c>
      <c r="J124">
        <v>291.1</v>
      </c>
      <c r="K124">
        <v>288.6</v>
      </c>
      <c r="L124">
        <v>292.3</v>
      </c>
      <c r="M124">
        <v>288.2</v>
      </c>
      <c r="N124">
        <v>288.2</v>
      </c>
      <c r="O124">
        <v>-2.8</v>
      </c>
      <c r="P124" s="141">
        <v>335</v>
      </c>
      <c r="Q124">
        <v>288.3</v>
      </c>
    </row>
    <row r="125" spans="1:17" ht="13.5">
      <c r="A125" s="238">
        <v>40391</v>
      </c>
      <c r="B125">
        <v>285.6</v>
      </c>
      <c r="C125">
        <v>286</v>
      </c>
      <c r="D125">
        <v>287</v>
      </c>
      <c r="E125">
        <v>285.7</v>
      </c>
      <c r="F125">
        <v>286</v>
      </c>
      <c r="G125">
        <v>0.4</v>
      </c>
      <c r="H125" s="141">
        <v>1007</v>
      </c>
      <c r="I125" s="238">
        <v>40391</v>
      </c>
      <c r="J125">
        <v>288.6</v>
      </c>
      <c r="K125">
        <v>286.8</v>
      </c>
      <c r="L125">
        <v>289.6</v>
      </c>
      <c r="M125">
        <v>285.4</v>
      </c>
      <c r="N125">
        <v>285.4</v>
      </c>
      <c r="O125">
        <v>-3</v>
      </c>
      <c r="P125" s="141">
        <v>6276</v>
      </c>
      <c r="Q125">
        <v>285.6</v>
      </c>
    </row>
    <row r="126" spans="1:16" ht="13.5">
      <c r="A126" s="238" t="s">
        <v>284</v>
      </c>
      <c r="H126" s="141">
        <v>1039</v>
      </c>
      <c r="I126" s="238" t="s">
        <v>284</v>
      </c>
      <c r="P126" s="141">
        <v>6926</v>
      </c>
    </row>
    <row r="127" spans="1:16" ht="13.5">
      <c r="A127" t="s">
        <v>322</v>
      </c>
      <c r="H127" s="141"/>
      <c r="P127" s="141"/>
    </row>
    <row r="128" spans="1:9" ht="13.5">
      <c r="A128" t="s">
        <v>988</v>
      </c>
      <c r="I128" t="s">
        <v>611</v>
      </c>
    </row>
    <row r="129" spans="2:10" ht="13.5">
      <c r="B129" t="s">
        <v>322</v>
      </c>
      <c r="J129" t="s">
        <v>322</v>
      </c>
    </row>
    <row r="130" spans="1:10" ht="13.5">
      <c r="A130" t="s">
        <v>300</v>
      </c>
      <c r="B130" s="141">
        <v>30272</v>
      </c>
      <c r="I130" t="s">
        <v>301</v>
      </c>
      <c r="J130" s="141">
        <v>61072</v>
      </c>
    </row>
    <row r="131" spans="1:10" ht="13.5">
      <c r="A131" t="s">
        <v>302</v>
      </c>
      <c r="B131" s="141"/>
      <c r="J131" s="141"/>
    </row>
    <row r="132" ht="13.5">
      <c r="A132" t="s">
        <v>303</v>
      </c>
    </row>
    <row r="133" ht="13.5">
      <c r="A133" t="s">
        <v>304</v>
      </c>
    </row>
    <row r="134" ht="13.5">
      <c r="A134" t="s">
        <v>305</v>
      </c>
    </row>
    <row r="135" ht="13.5">
      <c r="A135" t="s">
        <v>306</v>
      </c>
    </row>
    <row r="136" ht="13.5">
      <c r="A136" t="s">
        <v>276</v>
      </c>
    </row>
    <row r="137" ht="13.5">
      <c r="A137" t="s">
        <v>307</v>
      </c>
    </row>
    <row r="138" ht="13.5">
      <c r="A138" t="s">
        <v>269</v>
      </c>
    </row>
    <row r="139" ht="13.5">
      <c r="A139" t="s">
        <v>308</v>
      </c>
    </row>
    <row r="140" ht="13.5">
      <c r="A140" t="s">
        <v>309</v>
      </c>
    </row>
    <row r="141" ht="13.5">
      <c r="A141" t="s">
        <v>310</v>
      </c>
    </row>
    <row r="142" ht="13.5">
      <c r="A142" t="s">
        <v>311</v>
      </c>
    </row>
    <row r="143" ht="13.5">
      <c r="A143" t="s">
        <v>312</v>
      </c>
    </row>
    <row r="144" ht="13.5">
      <c r="A144" t="s">
        <v>313</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11"/>
  <dimension ref="A1:I142"/>
  <sheetViews>
    <sheetView workbookViewId="0" topLeftCell="A1">
      <selection activeCell="E16" sqref="E16"/>
    </sheetView>
  </sheetViews>
  <sheetFormatPr defaultColWidth="9.00390625" defaultRowHeight="13.5"/>
  <sheetData>
    <row r="1" ht="13.5">
      <c r="A1" t="s">
        <v>1273</v>
      </c>
    </row>
    <row r="3" ht="13.5">
      <c r="A3" t="s">
        <v>1274</v>
      </c>
    </row>
    <row r="4" ht="13.5">
      <c r="A4" t="s">
        <v>1275</v>
      </c>
    </row>
    <row r="5" ht="13.5">
      <c r="A5" t="s">
        <v>1370</v>
      </c>
    </row>
    <row r="6" ht="13.5">
      <c r="A6" t="s">
        <v>1276</v>
      </c>
    </row>
    <row r="7" spans="1:9" ht="13.5">
      <c r="A7" t="s">
        <v>1277</v>
      </c>
      <c r="C7" t="s">
        <v>1021</v>
      </c>
      <c r="D7" t="s">
        <v>1281</v>
      </c>
      <c r="E7" t="s">
        <v>1283</v>
      </c>
      <c r="F7" t="s">
        <v>1285</v>
      </c>
      <c r="G7" t="s">
        <v>1271</v>
      </c>
      <c r="H7" t="s">
        <v>1289</v>
      </c>
      <c r="I7" t="s">
        <v>1292</v>
      </c>
    </row>
    <row r="8" spans="1:9" ht="13.5">
      <c r="A8" t="s">
        <v>1278</v>
      </c>
      <c r="C8" t="s">
        <v>1279</v>
      </c>
      <c r="D8" t="s">
        <v>1282</v>
      </c>
      <c r="E8" t="s">
        <v>1284</v>
      </c>
      <c r="F8" t="s">
        <v>1287</v>
      </c>
      <c r="G8" t="s">
        <v>1288</v>
      </c>
      <c r="H8" t="s">
        <v>1291</v>
      </c>
      <c r="I8" t="s">
        <v>1293</v>
      </c>
    </row>
    <row r="9" ht="13.5">
      <c r="C9" t="s">
        <v>1280</v>
      </c>
    </row>
    <row r="11" spans="1:9" ht="13.5">
      <c r="A11" t="s">
        <v>1294</v>
      </c>
      <c r="B11" t="s">
        <v>1295</v>
      </c>
      <c r="C11" t="s">
        <v>1371</v>
      </c>
      <c r="D11" s="2">
        <v>0.0157</v>
      </c>
      <c r="E11" s="2">
        <v>-0.0205</v>
      </c>
      <c r="F11" t="s">
        <v>1298</v>
      </c>
      <c r="G11" t="s">
        <v>1373</v>
      </c>
      <c r="H11" t="s">
        <v>1299</v>
      </c>
      <c r="I11" t="s">
        <v>1300</v>
      </c>
    </row>
    <row r="12" spans="2:9" ht="13.5">
      <c r="B12" t="s">
        <v>1296</v>
      </c>
      <c r="C12" t="s">
        <v>1372</v>
      </c>
      <c r="I12" t="s">
        <v>1374</v>
      </c>
    </row>
    <row r="13" ht="13.5">
      <c r="B13" t="s">
        <v>1297</v>
      </c>
    </row>
    <row r="15" spans="1:9" ht="13.5">
      <c r="A15" t="s">
        <v>1301</v>
      </c>
      <c r="B15" t="s">
        <v>1302</v>
      </c>
      <c r="C15" t="s">
        <v>1375</v>
      </c>
      <c r="D15" s="2">
        <v>0.0101</v>
      </c>
      <c r="E15" s="2">
        <v>-0.0173</v>
      </c>
      <c r="F15" t="s">
        <v>1298</v>
      </c>
      <c r="G15" t="s">
        <v>1377</v>
      </c>
      <c r="H15" t="s">
        <v>1299</v>
      </c>
      <c r="I15" t="s">
        <v>1300</v>
      </c>
    </row>
    <row r="16" spans="2:9" ht="13.5">
      <c r="B16" t="s">
        <v>1296</v>
      </c>
      <c r="C16" t="s">
        <v>1376</v>
      </c>
      <c r="I16" t="s">
        <v>1374</v>
      </c>
    </row>
    <row r="17" ht="13.5">
      <c r="B17" t="s">
        <v>1297</v>
      </c>
    </row>
    <row r="19" spans="1:9" ht="13.5">
      <c r="A19" t="s">
        <v>1303</v>
      </c>
      <c r="B19" t="s">
        <v>1304</v>
      </c>
      <c r="C19" t="s">
        <v>1378</v>
      </c>
      <c r="D19" s="2">
        <v>0.0179</v>
      </c>
      <c r="E19" s="2">
        <v>-0.2622</v>
      </c>
      <c r="F19" s="2">
        <v>-0.6233</v>
      </c>
      <c r="G19" t="s">
        <v>1380</v>
      </c>
      <c r="H19" t="s">
        <v>1299</v>
      </c>
      <c r="I19" t="s">
        <v>1381</v>
      </c>
    </row>
    <row r="20" spans="2:9" ht="13.5">
      <c r="B20" t="s">
        <v>1296</v>
      </c>
      <c r="C20" t="s">
        <v>1379</v>
      </c>
      <c r="I20" t="s">
        <v>1382</v>
      </c>
    </row>
    <row r="21" ht="13.5">
      <c r="B21" t="s">
        <v>1297</v>
      </c>
    </row>
    <row r="23" spans="1:9" ht="13.5">
      <c r="A23" t="s">
        <v>1305</v>
      </c>
      <c r="B23" t="s">
        <v>1306</v>
      </c>
      <c r="C23" t="s">
        <v>1383</v>
      </c>
      <c r="D23" s="2">
        <v>0.0363</v>
      </c>
      <c r="E23" s="2">
        <v>-0.2219</v>
      </c>
      <c r="F23" s="2">
        <v>-0.396</v>
      </c>
      <c r="G23" t="s">
        <v>1334</v>
      </c>
      <c r="H23" t="s">
        <v>1299</v>
      </c>
      <c r="I23" t="s">
        <v>1385</v>
      </c>
    </row>
    <row r="24" spans="2:9" ht="13.5">
      <c r="B24" t="s">
        <v>1296</v>
      </c>
      <c r="C24" t="s">
        <v>1384</v>
      </c>
      <c r="I24" t="s">
        <v>1382</v>
      </c>
    </row>
    <row r="25" ht="13.5">
      <c r="B25" t="s">
        <v>1297</v>
      </c>
    </row>
    <row r="27" spans="1:9" ht="13.5">
      <c r="A27" t="s">
        <v>1308</v>
      </c>
      <c r="B27" t="s">
        <v>1309</v>
      </c>
      <c r="C27" t="s">
        <v>1386</v>
      </c>
      <c r="D27" s="2">
        <v>0.0244</v>
      </c>
      <c r="E27" s="2">
        <v>-0.2867</v>
      </c>
      <c r="F27" s="2">
        <v>-0.4557</v>
      </c>
      <c r="G27" t="s">
        <v>1388</v>
      </c>
      <c r="H27" t="s">
        <v>1299</v>
      </c>
      <c r="I27" t="s">
        <v>1389</v>
      </c>
    </row>
    <row r="28" spans="2:9" ht="13.5">
      <c r="B28" t="s">
        <v>1296</v>
      </c>
      <c r="C28" t="s">
        <v>1387</v>
      </c>
      <c r="I28" t="s">
        <v>1382</v>
      </c>
    </row>
    <row r="29" ht="13.5">
      <c r="B29" t="s">
        <v>1297</v>
      </c>
    </row>
    <row r="31" spans="1:9" ht="13.5">
      <c r="A31" t="s">
        <v>1310</v>
      </c>
      <c r="B31" t="s">
        <v>1311</v>
      </c>
      <c r="C31" t="s">
        <v>1390</v>
      </c>
      <c r="D31" s="2">
        <v>0.0241</v>
      </c>
      <c r="E31" s="2">
        <v>-0.2026</v>
      </c>
      <c r="F31" s="2">
        <v>-0.4005</v>
      </c>
      <c r="G31" t="s">
        <v>1392</v>
      </c>
      <c r="H31" t="s">
        <v>1299</v>
      </c>
      <c r="I31" t="s">
        <v>1393</v>
      </c>
    </row>
    <row r="32" spans="2:9" ht="13.5">
      <c r="B32" t="s">
        <v>1296</v>
      </c>
      <c r="C32" t="s">
        <v>1391</v>
      </c>
      <c r="I32" t="s">
        <v>1394</v>
      </c>
    </row>
    <row r="33" ht="13.5">
      <c r="B33" t="s">
        <v>1297</v>
      </c>
    </row>
    <row r="35" spans="1:9" ht="13.5">
      <c r="A35" t="s">
        <v>1312</v>
      </c>
      <c r="B35" t="s">
        <v>1313</v>
      </c>
      <c r="C35" t="s">
        <v>1395</v>
      </c>
      <c r="D35" s="2">
        <v>0.0334</v>
      </c>
      <c r="E35" s="2">
        <v>-0.1677</v>
      </c>
      <c r="F35" s="2">
        <v>-0.3386</v>
      </c>
      <c r="G35" t="s">
        <v>1397</v>
      </c>
      <c r="H35" t="s">
        <v>1299</v>
      </c>
      <c r="I35" t="s">
        <v>1398</v>
      </c>
    </row>
    <row r="36" spans="2:9" ht="13.5">
      <c r="B36" t="s">
        <v>1296</v>
      </c>
      <c r="C36" t="s">
        <v>1396</v>
      </c>
      <c r="I36" t="s">
        <v>1374</v>
      </c>
    </row>
    <row r="37" ht="13.5">
      <c r="B37" t="s">
        <v>1297</v>
      </c>
    </row>
    <row r="39" spans="1:9" ht="13.5">
      <c r="A39" t="s">
        <v>1314</v>
      </c>
      <c r="B39" t="s">
        <v>1315</v>
      </c>
      <c r="C39" t="s">
        <v>1399</v>
      </c>
      <c r="D39" s="2">
        <v>0.0248</v>
      </c>
      <c r="E39" s="2">
        <v>-0.2169</v>
      </c>
      <c r="F39" s="2">
        <v>-0.3887</v>
      </c>
      <c r="G39" t="s">
        <v>1401</v>
      </c>
      <c r="H39" t="s">
        <v>1299</v>
      </c>
      <c r="I39" t="s">
        <v>1402</v>
      </c>
    </row>
    <row r="40" spans="2:9" ht="13.5">
      <c r="B40" t="s">
        <v>1296</v>
      </c>
      <c r="C40" t="s">
        <v>1400</v>
      </c>
      <c r="I40" t="s">
        <v>1394</v>
      </c>
    </row>
    <row r="41" ht="13.5">
      <c r="B41" t="s">
        <v>1297</v>
      </c>
    </row>
    <row r="43" spans="1:9" ht="13.5">
      <c r="A43" t="s">
        <v>1316</v>
      </c>
      <c r="B43" t="s">
        <v>1317</v>
      </c>
      <c r="C43" t="s">
        <v>1403</v>
      </c>
      <c r="D43" s="2">
        <v>0.0049</v>
      </c>
      <c r="E43" t="s">
        <v>1298</v>
      </c>
      <c r="F43" t="s">
        <v>1298</v>
      </c>
      <c r="G43" t="s">
        <v>1405</v>
      </c>
      <c r="H43" t="s">
        <v>1318</v>
      </c>
      <c r="I43" t="s">
        <v>1406</v>
      </c>
    </row>
    <row r="44" spans="2:9" ht="13.5">
      <c r="B44" t="s">
        <v>1296</v>
      </c>
      <c r="C44" t="s">
        <v>1404</v>
      </c>
      <c r="I44" t="s">
        <v>1407</v>
      </c>
    </row>
    <row r="45" ht="13.5">
      <c r="B45" t="s">
        <v>1297</v>
      </c>
    </row>
    <row r="47" spans="1:9" ht="13.5">
      <c r="A47" t="s">
        <v>1319</v>
      </c>
      <c r="B47" t="s">
        <v>1320</v>
      </c>
      <c r="C47" t="s">
        <v>1408</v>
      </c>
      <c r="D47" s="2">
        <v>0.01</v>
      </c>
      <c r="E47" t="s">
        <v>1298</v>
      </c>
      <c r="F47" t="s">
        <v>1298</v>
      </c>
      <c r="G47" t="s">
        <v>1321</v>
      </c>
      <c r="H47" t="s">
        <v>1318</v>
      </c>
      <c r="I47" t="s">
        <v>1410</v>
      </c>
    </row>
    <row r="48" spans="2:9" ht="13.5">
      <c r="B48" t="s">
        <v>1296</v>
      </c>
      <c r="C48" t="s">
        <v>1409</v>
      </c>
      <c r="I48" t="s">
        <v>1407</v>
      </c>
    </row>
    <row r="49" ht="13.5">
      <c r="B49" t="s">
        <v>1297</v>
      </c>
    </row>
    <row r="51" spans="1:9" ht="13.5">
      <c r="A51" t="s">
        <v>1322</v>
      </c>
      <c r="B51" t="s">
        <v>1323</v>
      </c>
      <c r="C51" t="s">
        <v>1411</v>
      </c>
      <c r="D51" s="2">
        <v>0.0043</v>
      </c>
      <c r="E51" t="s">
        <v>1298</v>
      </c>
      <c r="F51" t="s">
        <v>1298</v>
      </c>
      <c r="G51" t="s">
        <v>1631</v>
      </c>
      <c r="H51" t="s">
        <v>1318</v>
      </c>
      <c r="I51" t="s">
        <v>1300</v>
      </c>
    </row>
    <row r="52" spans="2:9" ht="13.5">
      <c r="B52" t="s">
        <v>1296</v>
      </c>
      <c r="C52" t="s">
        <v>1412</v>
      </c>
      <c r="I52" t="s">
        <v>1407</v>
      </c>
    </row>
    <row r="53" ht="13.5">
      <c r="B53" t="s">
        <v>1297</v>
      </c>
    </row>
    <row r="55" spans="1:9" ht="13.5">
      <c r="A55" t="s">
        <v>1324</v>
      </c>
      <c r="B55" t="s">
        <v>1325</v>
      </c>
      <c r="C55" t="s">
        <v>1413</v>
      </c>
      <c r="D55" s="2">
        <v>0.0185</v>
      </c>
      <c r="E55" s="2">
        <v>-0.2179</v>
      </c>
      <c r="F55" t="s">
        <v>1298</v>
      </c>
      <c r="G55" t="s">
        <v>1415</v>
      </c>
      <c r="H55" t="s">
        <v>1299</v>
      </c>
      <c r="I55" t="s">
        <v>1416</v>
      </c>
    </row>
    <row r="56" spans="2:9" ht="13.5">
      <c r="B56" t="s">
        <v>1296</v>
      </c>
      <c r="C56" t="s">
        <v>1414</v>
      </c>
      <c r="I56" t="s">
        <v>1382</v>
      </c>
    </row>
    <row r="57" ht="13.5">
      <c r="B57" t="s">
        <v>1297</v>
      </c>
    </row>
    <row r="59" spans="1:9" ht="13.5">
      <c r="A59" t="s">
        <v>1326</v>
      </c>
      <c r="B59" t="s">
        <v>1327</v>
      </c>
      <c r="C59" t="s">
        <v>1417</v>
      </c>
      <c r="D59" s="2">
        <v>0.0295</v>
      </c>
      <c r="E59" s="2">
        <v>-0.2314</v>
      </c>
      <c r="F59" t="s">
        <v>1298</v>
      </c>
      <c r="G59" t="s">
        <v>1328</v>
      </c>
      <c r="H59" t="s">
        <v>1299</v>
      </c>
      <c r="I59" t="s">
        <v>1419</v>
      </c>
    </row>
    <row r="60" spans="2:9" ht="13.5">
      <c r="B60" t="s">
        <v>1296</v>
      </c>
      <c r="C60" t="s">
        <v>1418</v>
      </c>
      <c r="I60" t="s">
        <v>1382</v>
      </c>
    </row>
    <row r="61" ht="13.5">
      <c r="B61" t="s">
        <v>1297</v>
      </c>
    </row>
    <row r="63" spans="1:9" ht="13.5">
      <c r="A63" t="s">
        <v>1329</v>
      </c>
      <c r="B63" t="s">
        <v>1330</v>
      </c>
      <c r="C63" t="s">
        <v>1420</v>
      </c>
      <c r="D63" s="2">
        <v>0.0267</v>
      </c>
      <c r="E63" s="2">
        <v>-0.2047</v>
      </c>
      <c r="F63" t="s">
        <v>1298</v>
      </c>
      <c r="G63" t="s">
        <v>1331</v>
      </c>
      <c r="H63" t="s">
        <v>1299</v>
      </c>
      <c r="I63" t="s">
        <v>1422</v>
      </c>
    </row>
    <row r="64" spans="2:9" ht="13.5">
      <c r="B64" t="s">
        <v>1296</v>
      </c>
      <c r="C64" t="s">
        <v>1421</v>
      </c>
      <c r="I64" t="s">
        <v>1382</v>
      </c>
    </row>
    <row r="65" ht="13.5">
      <c r="B65" t="s">
        <v>1297</v>
      </c>
    </row>
    <row r="67" spans="1:9" ht="13.5">
      <c r="A67" t="s">
        <v>1332</v>
      </c>
      <c r="B67" t="s">
        <v>1333</v>
      </c>
      <c r="C67" t="s">
        <v>1423</v>
      </c>
      <c r="D67" s="2">
        <v>0.0161</v>
      </c>
      <c r="E67" s="2">
        <v>-0.3128</v>
      </c>
      <c r="F67" t="s">
        <v>1298</v>
      </c>
      <c r="G67" t="s">
        <v>1604</v>
      </c>
      <c r="H67" t="s">
        <v>1299</v>
      </c>
      <c r="I67" t="s">
        <v>1425</v>
      </c>
    </row>
    <row r="68" spans="2:9" ht="13.5">
      <c r="B68" t="s">
        <v>1296</v>
      </c>
      <c r="C68" t="s">
        <v>1424</v>
      </c>
      <c r="I68" t="s">
        <v>1382</v>
      </c>
    </row>
    <row r="69" ht="13.5">
      <c r="B69" t="s">
        <v>1297</v>
      </c>
    </row>
    <row r="71" spans="1:9" ht="13.5">
      <c r="A71" t="s">
        <v>1335</v>
      </c>
      <c r="B71" t="s">
        <v>1585</v>
      </c>
      <c r="C71" t="s">
        <v>1426</v>
      </c>
      <c r="D71" s="2">
        <v>0.0178</v>
      </c>
      <c r="E71" s="2">
        <v>-0.3157</v>
      </c>
      <c r="F71" t="s">
        <v>1298</v>
      </c>
      <c r="G71" t="s">
        <v>1631</v>
      </c>
      <c r="H71" t="s">
        <v>1299</v>
      </c>
      <c r="I71" t="s">
        <v>1428</v>
      </c>
    </row>
    <row r="72" spans="2:9" ht="13.5">
      <c r="B72" t="s">
        <v>1296</v>
      </c>
      <c r="C72" t="s">
        <v>1427</v>
      </c>
      <c r="I72" t="s">
        <v>1382</v>
      </c>
    </row>
    <row r="73" ht="13.5">
      <c r="B73" t="s">
        <v>1297</v>
      </c>
    </row>
    <row r="75" spans="1:9" ht="13.5">
      <c r="A75" t="s">
        <v>1586</v>
      </c>
      <c r="B75" t="s">
        <v>1587</v>
      </c>
      <c r="C75" t="s">
        <v>1429</v>
      </c>
      <c r="D75" s="2">
        <v>0.0249</v>
      </c>
      <c r="E75" s="2">
        <v>-0.0717</v>
      </c>
      <c r="F75" t="s">
        <v>1298</v>
      </c>
      <c r="G75" t="s">
        <v>1307</v>
      </c>
      <c r="H75" t="s">
        <v>1299</v>
      </c>
      <c r="I75" t="s">
        <v>1431</v>
      </c>
    </row>
    <row r="76" spans="2:9" ht="13.5">
      <c r="B76" t="s">
        <v>1296</v>
      </c>
      <c r="C76" t="s">
        <v>1430</v>
      </c>
      <c r="I76" t="s">
        <v>1382</v>
      </c>
    </row>
    <row r="77" ht="13.5">
      <c r="B77" t="s">
        <v>1297</v>
      </c>
    </row>
    <row r="79" spans="1:9" ht="13.5">
      <c r="A79" t="s">
        <v>1588</v>
      </c>
      <c r="B79" t="s">
        <v>1589</v>
      </c>
      <c r="C79" t="s">
        <v>1432</v>
      </c>
      <c r="D79" s="2">
        <v>0.0214</v>
      </c>
      <c r="E79" s="2">
        <v>-0.147</v>
      </c>
      <c r="F79" t="s">
        <v>1298</v>
      </c>
      <c r="G79" t="s">
        <v>1590</v>
      </c>
      <c r="H79" t="s">
        <v>1299</v>
      </c>
      <c r="I79" t="s">
        <v>1434</v>
      </c>
    </row>
    <row r="80" spans="2:9" ht="13.5">
      <c r="B80" t="s">
        <v>1296</v>
      </c>
      <c r="C80" t="s">
        <v>1433</v>
      </c>
      <c r="I80" t="s">
        <v>1382</v>
      </c>
    </row>
    <row r="81" ht="13.5">
      <c r="B81" t="s">
        <v>1297</v>
      </c>
    </row>
    <row r="83" spans="1:9" ht="13.5">
      <c r="A83" t="s">
        <v>1591</v>
      </c>
      <c r="B83" t="s">
        <v>1592</v>
      </c>
      <c r="C83" t="s">
        <v>1504</v>
      </c>
      <c r="D83" s="2">
        <v>0.0267</v>
      </c>
      <c r="E83" s="2">
        <v>-0.3444</v>
      </c>
      <c r="F83" t="s">
        <v>1298</v>
      </c>
      <c r="G83" t="s">
        <v>1604</v>
      </c>
      <c r="H83" t="s">
        <v>1299</v>
      </c>
      <c r="I83" t="s">
        <v>1506</v>
      </c>
    </row>
    <row r="84" spans="2:9" ht="13.5">
      <c r="B84" t="s">
        <v>1296</v>
      </c>
      <c r="C84" t="s">
        <v>1505</v>
      </c>
      <c r="I84" t="s">
        <v>1382</v>
      </c>
    </row>
    <row r="85" ht="13.5">
      <c r="B85" t="s">
        <v>1297</v>
      </c>
    </row>
    <row r="87" spans="1:9" ht="13.5">
      <c r="A87" t="s">
        <v>1594</v>
      </c>
      <c r="B87" t="s">
        <v>1595</v>
      </c>
      <c r="C87" t="s">
        <v>1507</v>
      </c>
      <c r="D87" s="2">
        <v>0.0248</v>
      </c>
      <c r="E87" s="2">
        <v>-0.2044</v>
      </c>
      <c r="F87" t="s">
        <v>1298</v>
      </c>
      <c r="G87" t="s">
        <v>1334</v>
      </c>
      <c r="H87" t="s">
        <v>1299</v>
      </c>
      <c r="I87" t="s">
        <v>1509</v>
      </c>
    </row>
    <row r="88" spans="2:9" ht="13.5">
      <c r="B88" t="s">
        <v>1296</v>
      </c>
      <c r="C88" t="s">
        <v>1508</v>
      </c>
      <c r="I88" t="s">
        <v>1382</v>
      </c>
    </row>
    <row r="89" ht="13.5">
      <c r="B89" t="s">
        <v>1297</v>
      </c>
    </row>
    <row r="91" spans="1:9" ht="13.5">
      <c r="A91" t="s">
        <v>1596</v>
      </c>
      <c r="B91" t="s">
        <v>1597</v>
      </c>
      <c r="C91" t="s">
        <v>1510</v>
      </c>
      <c r="D91" s="2">
        <v>0.0281</v>
      </c>
      <c r="E91" s="2">
        <v>-0.1143</v>
      </c>
      <c r="F91" t="s">
        <v>1298</v>
      </c>
      <c r="G91" t="s">
        <v>1512</v>
      </c>
      <c r="H91" t="s">
        <v>1299</v>
      </c>
      <c r="I91" t="s">
        <v>1513</v>
      </c>
    </row>
    <row r="92" spans="2:9" ht="13.5">
      <c r="B92" t="s">
        <v>1296</v>
      </c>
      <c r="C92" t="s">
        <v>1511</v>
      </c>
      <c r="I92" t="s">
        <v>1382</v>
      </c>
    </row>
    <row r="93" ht="13.5">
      <c r="B93" t="s">
        <v>1297</v>
      </c>
    </row>
    <row r="95" spans="1:9" ht="13.5">
      <c r="A95" t="s">
        <v>1598</v>
      </c>
      <c r="B95" t="s">
        <v>1599</v>
      </c>
      <c r="C95" t="s">
        <v>1514</v>
      </c>
      <c r="D95" s="2">
        <v>0.0233</v>
      </c>
      <c r="E95" s="2">
        <v>-0.2113</v>
      </c>
      <c r="F95" t="s">
        <v>1298</v>
      </c>
      <c r="G95" t="s">
        <v>1704</v>
      </c>
      <c r="H95" t="s">
        <v>1299</v>
      </c>
      <c r="I95" t="s">
        <v>1516</v>
      </c>
    </row>
    <row r="96" spans="2:9" ht="13.5">
      <c r="B96" t="s">
        <v>1296</v>
      </c>
      <c r="C96" t="s">
        <v>1515</v>
      </c>
      <c r="I96" t="s">
        <v>1382</v>
      </c>
    </row>
    <row r="97" ht="13.5">
      <c r="B97" t="s">
        <v>1297</v>
      </c>
    </row>
    <row r="99" spans="1:9" ht="13.5">
      <c r="A99" t="s">
        <v>1600</v>
      </c>
      <c r="B99" t="s">
        <v>1601</v>
      </c>
      <c r="C99" t="s">
        <v>1517</v>
      </c>
      <c r="D99" s="2">
        <v>0.0229</v>
      </c>
      <c r="E99" s="2">
        <v>-0.1673</v>
      </c>
      <c r="F99" t="s">
        <v>1298</v>
      </c>
      <c r="G99" t="s">
        <v>1331</v>
      </c>
      <c r="H99" t="s">
        <v>1299</v>
      </c>
      <c r="I99" t="s">
        <v>1519</v>
      </c>
    </row>
    <row r="100" spans="2:9" ht="13.5">
      <c r="B100" t="s">
        <v>1296</v>
      </c>
      <c r="C100" t="s">
        <v>1518</v>
      </c>
      <c r="I100" t="s">
        <v>1382</v>
      </c>
    </row>
    <row r="101" ht="13.5">
      <c r="B101" t="s">
        <v>1297</v>
      </c>
    </row>
    <row r="103" spans="1:9" ht="13.5">
      <c r="A103" t="s">
        <v>1602</v>
      </c>
      <c r="B103" t="s">
        <v>1603</v>
      </c>
      <c r="C103" t="s">
        <v>1520</v>
      </c>
      <c r="D103" s="2">
        <v>0.0324</v>
      </c>
      <c r="E103" s="2">
        <v>-0.2667</v>
      </c>
      <c r="F103" t="s">
        <v>1298</v>
      </c>
      <c r="G103" t="s">
        <v>1604</v>
      </c>
      <c r="H103" t="s">
        <v>1299</v>
      </c>
      <c r="I103" t="s">
        <v>1522</v>
      </c>
    </row>
    <row r="104" spans="2:9" ht="13.5">
      <c r="B104" t="s">
        <v>1296</v>
      </c>
      <c r="C104" t="s">
        <v>1521</v>
      </c>
      <c r="I104" t="s">
        <v>1382</v>
      </c>
    </row>
    <row r="105" ht="13.5">
      <c r="B105" t="s">
        <v>1297</v>
      </c>
    </row>
    <row r="107" spans="1:9" ht="13.5">
      <c r="A107" t="s">
        <v>1605</v>
      </c>
      <c r="B107" t="s">
        <v>1606</v>
      </c>
      <c r="C107" t="s">
        <v>1523</v>
      </c>
      <c r="D107" s="2">
        <v>0.0359</v>
      </c>
      <c r="E107" s="2">
        <v>-0.2269</v>
      </c>
      <c r="F107" t="s">
        <v>1298</v>
      </c>
      <c r="G107" t="s">
        <v>1526</v>
      </c>
      <c r="H107" t="s">
        <v>1299</v>
      </c>
      <c r="I107" t="s">
        <v>1527</v>
      </c>
    </row>
    <row r="108" spans="2:9" ht="13.5">
      <c r="B108" t="s">
        <v>1296</v>
      </c>
      <c r="C108" t="s">
        <v>1525</v>
      </c>
      <c r="I108" t="s">
        <v>1382</v>
      </c>
    </row>
    <row r="109" ht="13.5">
      <c r="B109" t="s">
        <v>1297</v>
      </c>
    </row>
    <row r="111" spans="1:9" ht="13.5">
      <c r="A111" t="s">
        <v>1607</v>
      </c>
      <c r="B111" t="s">
        <v>1608</v>
      </c>
      <c r="C111" t="s">
        <v>1528</v>
      </c>
      <c r="D111" s="2">
        <v>0.0085</v>
      </c>
      <c r="E111" s="2">
        <v>-0.1794</v>
      </c>
      <c r="F111" t="s">
        <v>1298</v>
      </c>
      <c r="G111" t="s">
        <v>1530</v>
      </c>
      <c r="H111" t="s">
        <v>1299</v>
      </c>
      <c r="I111" t="s">
        <v>1535</v>
      </c>
    </row>
    <row r="112" spans="2:9" ht="13.5">
      <c r="B112" t="s">
        <v>1296</v>
      </c>
      <c r="C112" t="s">
        <v>1529</v>
      </c>
      <c r="I112" t="s">
        <v>1382</v>
      </c>
    </row>
    <row r="113" ht="13.5">
      <c r="B113" t="s">
        <v>1297</v>
      </c>
    </row>
    <row r="115" spans="1:9" ht="13.5">
      <c r="A115" t="s">
        <v>1609</v>
      </c>
      <c r="B115" t="s">
        <v>1610</v>
      </c>
      <c r="C115" t="s">
        <v>1536</v>
      </c>
      <c r="D115" s="2">
        <v>0.0107</v>
      </c>
      <c r="E115" s="2">
        <v>-0.2748</v>
      </c>
      <c r="F115" t="s">
        <v>1298</v>
      </c>
      <c r="G115" t="s">
        <v>1593</v>
      </c>
      <c r="H115" t="s">
        <v>1299</v>
      </c>
      <c r="I115" t="s">
        <v>1538</v>
      </c>
    </row>
    <row r="116" spans="2:9" ht="13.5">
      <c r="B116" t="s">
        <v>1296</v>
      </c>
      <c r="C116" t="s">
        <v>1537</v>
      </c>
      <c r="I116" t="s">
        <v>1382</v>
      </c>
    </row>
    <row r="117" ht="13.5">
      <c r="B117" t="s">
        <v>1297</v>
      </c>
    </row>
    <row r="119" spans="1:9" ht="13.5">
      <c r="A119" t="s">
        <v>1611</v>
      </c>
      <c r="B119" t="s">
        <v>1630</v>
      </c>
      <c r="C119" t="s">
        <v>1539</v>
      </c>
      <c r="D119" s="2">
        <v>0.0091</v>
      </c>
      <c r="E119" t="s">
        <v>1298</v>
      </c>
      <c r="F119" t="s">
        <v>1298</v>
      </c>
      <c r="G119" t="s">
        <v>1541</v>
      </c>
      <c r="H119" t="s">
        <v>1318</v>
      </c>
      <c r="I119" t="s">
        <v>1542</v>
      </c>
    </row>
    <row r="120" spans="2:9" ht="13.5">
      <c r="B120" t="s">
        <v>1296</v>
      </c>
      <c r="C120" t="s">
        <v>1540</v>
      </c>
      <c r="I120" t="s">
        <v>1407</v>
      </c>
    </row>
    <row r="121" ht="13.5">
      <c r="B121" t="s">
        <v>1297</v>
      </c>
    </row>
    <row r="123" spans="1:9" ht="13.5">
      <c r="A123" t="s">
        <v>1632</v>
      </c>
      <c r="B123" t="s">
        <v>1633</v>
      </c>
      <c r="C123" t="s">
        <v>1543</v>
      </c>
      <c r="D123" s="2">
        <v>0.0188</v>
      </c>
      <c r="E123" s="2">
        <v>-0.2257</v>
      </c>
      <c r="F123" t="s">
        <v>1298</v>
      </c>
      <c r="G123" t="s">
        <v>1321</v>
      </c>
      <c r="H123" t="s">
        <v>1299</v>
      </c>
      <c r="I123" t="s">
        <v>1545</v>
      </c>
    </row>
    <row r="124" spans="2:9" ht="13.5">
      <c r="B124" t="s">
        <v>1296</v>
      </c>
      <c r="C124" t="s">
        <v>1544</v>
      </c>
      <c r="I124" t="s">
        <v>1382</v>
      </c>
    </row>
    <row r="125" ht="13.5">
      <c r="B125" t="s">
        <v>1297</v>
      </c>
    </row>
    <row r="127" spans="1:9" ht="13.5">
      <c r="A127" t="s">
        <v>1634</v>
      </c>
      <c r="B127" t="s">
        <v>1697</v>
      </c>
      <c r="C127" t="s">
        <v>1546</v>
      </c>
      <c r="D127" s="2">
        <v>0.0245</v>
      </c>
      <c r="E127" s="2">
        <v>-0.2333</v>
      </c>
      <c r="F127" t="s">
        <v>1298</v>
      </c>
      <c r="G127" t="s">
        <v>1548</v>
      </c>
      <c r="H127" t="s">
        <v>1299</v>
      </c>
      <c r="I127" t="s">
        <v>1300</v>
      </c>
    </row>
    <row r="128" spans="2:9" ht="13.5">
      <c r="B128" t="s">
        <v>1296</v>
      </c>
      <c r="C128" t="s">
        <v>1547</v>
      </c>
      <c r="I128" t="s">
        <v>1374</v>
      </c>
    </row>
    <row r="129" ht="13.5">
      <c r="B129" t="s">
        <v>1297</v>
      </c>
    </row>
    <row r="131" spans="1:9" ht="13.5">
      <c r="A131" t="s">
        <v>1698</v>
      </c>
      <c r="B131" t="s">
        <v>1699</v>
      </c>
      <c r="C131" t="s">
        <v>1549</v>
      </c>
      <c r="D131" s="2">
        <v>0.0286</v>
      </c>
      <c r="E131" s="2">
        <v>-0.2269</v>
      </c>
      <c r="F131" t="s">
        <v>1298</v>
      </c>
      <c r="G131" t="s">
        <v>1307</v>
      </c>
      <c r="H131" t="s">
        <v>1299</v>
      </c>
      <c r="I131" t="s">
        <v>1300</v>
      </c>
    </row>
    <row r="132" spans="2:9" ht="13.5">
      <c r="B132" t="s">
        <v>1296</v>
      </c>
      <c r="C132" t="s">
        <v>1550</v>
      </c>
      <c r="I132" t="s">
        <v>1374</v>
      </c>
    </row>
    <row r="133" ht="13.5">
      <c r="B133" t="s">
        <v>1297</v>
      </c>
    </row>
    <row r="135" spans="1:9" ht="13.5">
      <c r="A135" t="s">
        <v>1700</v>
      </c>
      <c r="B135" t="s">
        <v>1701</v>
      </c>
      <c r="C135" t="s">
        <v>1551</v>
      </c>
      <c r="D135" s="2">
        <v>0.0331</v>
      </c>
      <c r="E135" s="2">
        <v>-0.4549</v>
      </c>
      <c r="F135" t="s">
        <v>1298</v>
      </c>
      <c r="G135" t="s">
        <v>1553</v>
      </c>
      <c r="H135" t="s">
        <v>1299</v>
      </c>
      <c r="I135" t="s">
        <v>1300</v>
      </c>
    </row>
    <row r="136" spans="2:9" ht="13.5">
      <c r="B136" t="s">
        <v>1296</v>
      </c>
      <c r="C136" t="s">
        <v>1552</v>
      </c>
      <c r="I136" t="s">
        <v>1374</v>
      </c>
    </row>
    <row r="137" ht="13.5">
      <c r="B137" t="s">
        <v>1297</v>
      </c>
    </row>
    <row r="139" spans="1:9" ht="13.5">
      <c r="A139" t="s">
        <v>1702</v>
      </c>
      <c r="B139" t="s">
        <v>1703</v>
      </c>
      <c r="C139" t="s">
        <v>1554</v>
      </c>
      <c r="D139" s="2">
        <v>0.0234</v>
      </c>
      <c r="E139" s="2">
        <v>-0.1036</v>
      </c>
      <c r="F139" t="s">
        <v>1298</v>
      </c>
      <c r="G139" t="s">
        <v>1704</v>
      </c>
      <c r="H139" t="s">
        <v>1299</v>
      </c>
      <c r="I139" t="s">
        <v>1556</v>
      </c>
    </row>
    <row r="140" spans="2:9" ht="13.5">
      <c r="B140" t="s">
        <v>1296</v>
      </c>
      <c r="C140" t="s">
        <v>1555</v>
      </c>
      <c r="I140" t="s">
        <v>1382</v>
      </c>
    </row>
    <row r="141" ht="13.5">
      <c r="B141" t="s">
        <v>1297</v>
      </c>
    </row>
    <row r="142" ht="13.5">
      <c r="A142" t="s">
        <v>1276</v>
      </c>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codeName="Sheet19"/>
  <dimension ref="A1:E211"/>
  <sheetViews>
    <sheetView workbookViewId="0" topLeftCell="A1">
      <selection activeCell="A1" sqref="A1"/>
    </sheetView>
  </sheetViews>
  <sheetFormatPr defaultColWidth="9.00390625" defaultRowHeight="13.5"/>
  <sheetData>
    <row r="1" ht="13.5">
      <c r="A1" t="s">
        <v>744</v>
      </c>
    </row>
    <row r="2" ht="13.5">
      <c r="A2" t="s">
        <v>424</v>
      </c>
    </row>
    <row r="3" ht="13.5">
      <c r="A3" t="s">
        <v>425</v>
      </c>
    </row>
    <row r="4" ht="13.5">
      <c r="A4" t="s">
        <v>268</v>
      </c>
    </row>
    <row r="5" ht="13.5">
      <c r="A5" t="s">
        <v>656</v>
      </c>
    </row>
    <row r="6" ht="13.5">
      <c r="A6" t="s">
        <v>426</v>
      </c>
    </row>
    <row r="7" ht="13.5">
      <c r="A7" t="s">
        <v>427</v>
      </c>
    </row>
    <row r="8" ht="13.5">
      <c r="A8" t="s">
        <v>428</v>
      </c>
    </row>
    <row r="9" ht="13.5">
      <c r="A9" t="s">
        <v>429</v>
      </c>
    </row>
    <row r="10" ht="13.5">
      <c r="A10" t="s">
        <v>430</v>
      </c>
    </row>
    <row r="11" ht="13.5">
      <c r="A11" t="s">
        <v>431</v>
      </c>
    </row>
    <row r="12" ht="13.5">
      <c r="A12" t="s">
        <v>430</v>
      </c>
    </row>
    <row r="13" ht="13.5">
      <c r="A13" t="s">
        <v>432</v>
      </c>
    </row>
    <row r="14" ht="13.5">
      <c r="A14" t="s">
        <v>430</v>
      </c>
    </row>
    <row r="15" ht="13.5">
      <c r="A15" t="s">
        <v>433</v>
      </c>
    </row>
    <row r="16" ht="13.5">
      <c r="A16" t="s">
        <v>430</v>
      </c>
    </row>
    <row r="17" ht="13.5">
      <c r="A17" t="s">
        <v>444</v>
      </c>
    </row>
    <row r="18" ht="13.5">
      <c r="A18" t="s">
        <v>430</v>
      </c>
    </row>
    <row r="19" ht="13.5">
      <c r="A19" t="s">
        <v>445</v>
      </c>
    </row>
    <row r="20" ht="13.5">
      <c r="A20" t="s">
        <v>446</v>
      </c>
    </row>
    <row r="22" ht="13.5">
      <c r="A22" t="s">
        <v>447</v>
      </c>
    </row>
    <row r="23" ht="13.5">
      <c r="A23" t="s">
        <v>448</v>
      </c>
    </row>
    <row r="24" ht="13.5">
      <c r="A24" t="s">
        <v>449</v>
      </c>
    </row>
    <row r="25" ht="13.5">
      <c r="A25" t="s">
        <v>450</v>
      </c>
    </row>
    <row r="26" ht="13.5">
      <c r="A26" t="s">
        <v>1247</v>
      </c>
    </row>
    <row r="27" ht="13.5">
      <c r="A27" t="s">
        <v>1250</v>
      </c>
    </row>
    <row r="28" ht="13.5">
      <c r="A28" t="s">
        <v>451</v>
      </c>
    </row>
    <row r="29" ht="13.5">
      <c r="A29" t="s">
        <v>452</v>
      </c>
    </row>
    <row r="30" ht="13.5">
      <c r="A30" t="s">
        <v>453</v>
      </c>
    </row>
    <row r="31" ht="13.5">
      <c r="A31" t="s">
        <v>1249</v>
      </c>
    </row>
    <row r="32" ht="13.5">
      <c r="A32" t="s">
        <v>454</v>
      </c>
    </row>
    <row r="33" ht="13.5">
      <c r="A33" t="s">
        <v>432</v>
      </c>
    </row>
    <row r="34" ht="13.5">
      <c r="A34" t="s">
        <v>1248</v>
      </c>
    </row>
    <row r="35" ht="13.5">
      <c r="A35" t="s">
        <v>455</v>
      </c>
    </row>
    <row r="36" ht="13.5">
      <c r="A36" t="s">
        <v>448</v>
      </c>
    </row>
    <row r="37" ht="13.5">
      <c r="A37" t="s">
        <v>449</v>
      </c>
    </row>
    <row r="38" ht="13.5">
      <c r="A38" t="s">
        <v>456</v>
      </c>
    </row>
    <row r="39" ht="13.5">
      <c r="A39" t="s">
        <v>457</v>
      </c>
    </row>
    <row r="40" ht="13.5">
      <c r="A40" t="s">
        <v>458</v>
      </c>
    </row>
    <row r="41" ht="13.5">
      <c r="A41" t="s">
        <v>459</v>
      </c>
    </row>
    <row r="42" ht="13.5">
      <c r="A42" t="s">
        <v>460</v>
      </c>
    </row>
    <row r="43" ht="13.5">
      <c r="A43" t="s">
        <v>461</v>
      </c>
    </row>
    <row r="44" ht="13.5">
      <c r="A44" t="s">
        <v>451</v>
      </c>
    </row>
    <row r="46" ht="13.5">
      <c r="A46" t="s">
        <v>462</v>
      </c>
    </row>
    <row r="48" spans="1:5" ht="13.5">
      <c r="A48" t="s">
        <v>463</v>
      </c>
      <c r="B48" t="s">
        <v>464</v>
      </c>
      <c r="C48" t="s">
        <v>1008</v>
      </c>
      <c r="D48" t="s">
        <v>465</v>
      </c>
      <c r="E48" t="s">
        <v>466</v>
      </c>
    </row>
    <row r="49" spans="1:5" ht="13.5">
      <c r="A49" t="s">
        <v>467</v>
      </c>
      <c r="B49" s="100">
        <v>10144.88</v>
      </c>
      <c r="C49">
        <v>42.92</v>
      </c>
      <c r="D49" s="2">
        <v>0.0042</v>
      </c>
      <c r="E49" s="21">
        <v>0.4784722222222222</v>
      </c>
    </row>
    <row r="50" spans="1:5" ht="13.5">
      <c r="A50" t="s">
        <v>468</v>
      </c>
      <c r="B50" s="100">
        <v>20609.2</v>
      </c>
      <c r="C50">
        <v>209.63</v>
      </c>
      <c r="D50" s="2">
        <v>0.0103</v>
      </c>
      <c r="E50" s="21">
        <v>0.5034722222222222</v>
      </c>
    </row>
    <row r="51" spans="1:5" ht="13.5">
      <c r="A51" t="s">
        <v>469</v>
      </c>
      <c r="B51" s="100">
        <v>4615.9</v>
      </c>
      <c r="C51">
        <v>21.8</v>
      </c>
      <c r="D51" s="2">
        <v>0.0047</v>
      </c>
      <c r="E51" s="21">
        <v>0.513888888888889</v>
      </c>
    </row>
    <row r="52" ht="13.5">
      <c r="A52" t="s">
        <v>470</v>
      </c>
    </row>
    <row r="53" spans="1:5" ht="13.5">
      <c r="A53" t="s">
        <v>463</v>
      </c>
      <c r="B53" t="s">
        <v>464</v>
      </c>
      <c r="C53" t="s">
        <v>1008</v>
      </c>
      <c r="D53" t="s">
        <v>465</v>
      </c>
      <c r="E53" t="s">
        <v>466</v>
      </c>
    </row>
    <row r="54" spans="1:5" ht="13.5">
      <c r="A54" t="s">
        <v>471</v>
      </c>
      <c r="B54" s="100">
        <v>2847.36</v>
      </c>
      <c r="C54">
        <v>13.37</v>
      </c>
      <c r="D54" s="2">
        <v>0.0047</v>
      </c>
      <c r="E54" s="21">
        <v>0.513888888888889</v>
      </c>
    </row>
    <row r="55" spans="1:5" ht="13.5">
      <c r="A55" t="s">
        <v>472</v>
      </c>
      <c r="B55">
        <v>716.59</v>
      </c>
      <c r="C55">
        <v>4.55</v>
      </c>
      <c r="D55" s="2">
        <v>0.0064</v>
      </c>
      <c r="E55" s="21">
        <v>0.513888888888889</v>
      </c>
    </row>
    <row r="56" ht="13.5">
      <c r="A56" t="s">
        <v>473</v>
      </c>
    </row>
    <row r="57" spans="1:5" ht="13.5">
      <c r="A57" t="s">
        <v>463</v>
      </c>
      <c r="B57" t="s">
        <v>464</v>
      </c>
      <c r="C57" t="s">
        <v>1008</v>
      </c>
      <c r="D57" t="s">
        <v>465</v>
      </c>
      <c r="E57" t="s">
        <v>466</v>
      </c>
    </row>
    <row r="58" spans="1:5" ht="13.5">
      <c r="A58" t="s">
        <v>474</v>
      </c>
      <c r="B58">
        <v>894.62</v>
      </c>
      <c r="C58">
        <v>3.21</v>
      </c>
      <c r="D58" s="2">
        <v>0.0036</v>
      </c>
      <c r="E58" s="21">
        <v>0.4583333333333333</v>
      </c>
    </row>
    <row r="59" spans="1:5" ht="13.5">
      <c r="A59" t="s">
        <v>475</v>
      </c>
      <c r="B59">
        <v>505.16</v>
      </c>
      <c r="C59">
        <v>2.01</v>
      </c>
      <c r="D59" s="2">
        <v>0.004</v>
      </c>
      <c r="E59" s="21">
        <v>0.4583333333333333</v>
      </c>
    </row>
    <row r="60" spans="1:5" ht="13.5">
      <c r="A60" t="s">
        <v>476</v>
      </c>
      <c r="B60">
        <v>856.94</v>
      </c>
      <c r="C60">
        <v>3.41</v>
      </c>
      <c r="D60" s="2">
        <v>0.004</v>
      </c>
      <c r="E60" s="21">
        <v>0.4583333333333333</v>
      </c>
    </row>
    <row r="61" spans="1:5" ht="13.5">
      <c r="A61" t="s">
        <v>477</v>
      </c>
      <c r="B61">
        <v>708.22</v>
      </c>
      <c r="C61">
        <v>2.65</v>
      </c>
      <c r="D61" s="2">
        <v>0.0038</v>
      </c>
      <c r="E61" s="21">
        <v>0.4583333333333333</v>
      </c>
    </row>
    <row r="62" spans="1:5" ht="13.5">
      <c r="A62" t="s">
        <v>478</v>
      </c>
      <c r="B62">
        <v>888.43</v>
      </c>
      <c r="C62">
        <v>1.8</v>
      </c>
      <c r="D62" s="2">
        <v>0.002</v>
      </c>
      <c r="E62" s="21">
        <v>0.4583333333333333</v>
      </c>
    </row>
    <row r="63" spans="1:5" ht="13.5">
      <c r="A63" t="s">
        <v>479</v>
      </c>
      <c r="B63">
        <v>906.89</v>
      </c>
      <c r="C63">
        <v>2.93</v>
      </c>
      <c r="D63" s="2">
        <v>0.0032</v>
      </c>
      <c r="E63" s="21">
        <v>0.4583333333333333</v>
      </c>
    </row>
    <row r="64" spans="1:5" ht="13.5">
      <c r="A64" t="s">
        <v>481</v>
      </c>
      <c r="B64">
        <v>625.6</v>
      </c>
      <c r="C64">
        <v>2.49</v>
      </c>
      <c r="D64" s="2">
        <v>0.004</v>
      </c>
      <c r="E64" s="21">
        <v>0.4583333333333333</v>
      </c>
    </row>
    <row r="65" spans="1:5" ht="13.5">
      <c r="A65" t="s">
        <v>482</v>
      </c>
      <c r="B65" s="100">
        <v>2083.68</v>
      </c>
      <c r="C65">
        <v>0.03</v>
      </c>
      <c r="D65" s="2">
        <v>0</v>
      </c>
      <c r="E65" s="21">
        <v>0.4583333333333333</v>
      </c>
    </row>
    <row r="66" spans="1:5" ht="13.5">
      <c r="A66" t="s">
        <v>467</v>
      </c>
      <c r="B66" s="100">
        <v>10144.88</v>
      </c>
      <c r="C66">
        <v>42.92</v>
      </c>
      <c r="D66" s="2">
        <v>0.0042</v>
      </c>
      <c r="E66" s="21">
        <v>0.4784722222222222</v>
      </c>
    </row>
    <row r="67" spans="1:5" ht="13.5">
      <c r="A67" t="s">
        <v>483</v>
      </c>
      <c r="B67">
        <v>182.03</v>
      </c>
      <c r="C67">
        <v>0.7</v>
      </c>
      <c r="D67" s="2">
        <v>0.0039</v>
      </c>
      <c r="E67" s="21">
        <v>0.4784722222222222</v>
      </c>
    </row>
    <row r="68" spans="1:5" ht="13.5">
      <c r="A68" t="s">
        <v>484</v>
      </c>
      <c r="B68">
        <v>840.58</v>
      </c>
      <c r="C68">
        <v>2.35</v>
      </c>
      <c r="D68" s="2">
        <v>0.0028</v>
      </c>
      <c r="E68" s="21">
        <v>0.4784722222222222</v>
      </c>
    </row>
    <row r="69" spans="1:5" ht="13.5">
      <c r="A69" t="s">
        <v>485</v>
      </c>
      <c r="B69">
        <v>50.39</v>
      </c>
      <c r="C69">
        <v>0.03</v>
      </c>
      <c r="D69" s="2">
        <v>0.0006</v>
      </c>
      <c r="E69" s="21">
        <v>0.4590277777777778</v>
      </c>
    </row>
    <row r="70" spans="1:5" ht="13.5">
      <c r="A70" t="s">
        <v>486</v>
      </c>
      <c r="B70" s="100">
        <v>1209.65</v>
      </c>
      <c r="C70">
        <v>1.66</v>
      </c>
      <c r="D70" s="2">
        <v>0.0014</v>
      </c>
      <c r="E70" s="21">
        <v>0.4590277777777778</v>
      </c>
    </row>
    <row r="71" spans="1:5" ht="13.5">
      <c r="A71" t="s">
        <v>487</v>
      </c>
      <c r="B71">
        <v>898.95</v>
      </c>
      <c r="C71">
        <v>0.48</v>
      </c>
      <c r="D71" s="2">
        <v>0.0005</v>
      </c>
      <c r="E71" s="21">
        <v>0.4583333333333333</v>
      </c>
    </row>
    <row r="72" spans="1:5" ht="13.5">
      <c r="A72" t="s">
        <v>488</v>
      </c>
      <c r="B72">
        <v>406.53</v>
      </c>
      <c r="C72">
        <v>3.17</v>
      </c>
      <c r="D72" s="2">
        <v>0.0079</v>
      </c>
      <c r="E72" s="21">
        <v>0.4583333333333333</v>
      </c>
    </row>
    <row r="73" spans="1:5" ht="13.5">
      <c r="A73" t="s">
        <v>489</v>
      </c>
      <c r="B73">
        <v>571.16</v>
      </c>
      <c r="C73">
        <v>0.6</v>
      </c>
      <c r="D73" s="2">
        <v>0.0011</v>
      </c>
      <c r="E73" s="21">
        <v>0.4590277777777778</v>
      </c>
    </row>
    <row r="74" ht="13.5">
      <c r="A74" t="s">
        <v>490</v>
      </c>
    </row>
    <row r="75" spans="1:5" ht="13.5">
      <c r="A75" t="s">
        <v>463</v>
      </c>
      <c r="B75" t="s">
        <v>464</v>
      </c>
      <c r="C75" t="s">
        <v>1008</v>
      </c>
      <c r="D75" t="s">
        <v>465</v>
      </c>
      <c r="E75" t="s">
        <v>466</v>
      </c>
    </row>
    <row r="76" spans="1:5" ht="13.5">
      <c r="A76" t="s">
        <v>468</v>
      </c>
      <c r="B76" s="100">
        <v>20609.2</v>
      </c>
      <c r="C76">
        <v>209.63</v>
      </c>
      <c r="D76" s="2">
        <v>0.0103</v>
      </c>
      <c r="E76" s="21">
        <v>0.5034722222222222</v>
      </c>
    </row>
    <row r="77" spans="1:5" ht="13.5">
      <c r="A77" t="s">
        <v>491</v>
      </c>
      <c r="B77" s="100">
        <v>2896.73</v>
      </c>
      <c r="C77">
        <v>24.71</v>
      </c>
      <c r="D77" s="2">
        <v>0.0086</v>
      </c>
      <c r="E77" s="21">
        <v>0.5034722222222222</v>
      </c>
    </row>
    <row r="78" spans="1:5" ht="13.5">
      <c r="A78" t="s">
        <v>492</v>
      </c>
      <c r="B78" s="100">
        <v>24274.75</v>
      </c>
      <c r="C78">
        <v>246.13</v>
      </c>
      <c r="D78" s="2">
        <v>0.0102</v>
      </c>
      <c r="E78" s="21">
        <v>0.5034722222222222</v>
      </c>
    </row>
    <row r="79" spans="1:5" ht="13.5">
      <c r="A79" t="s">
        <v>493</v>
      </c>
      <c r="B79">
        <v>733.19</v>
      </c>
      <c r="C79">
        <v>-0.57</v>
      </c>
      <c r="D79" s="2">
        <v>-0.0008</v>
      </c>
      <c r="E79" s="21">
        <v>0.5034722222222222</v>
      </c>
    </row>
    <row r="80" spans="1:5" ht="13.5">
      <c r="A80" t="s">
        <v>494</v>
      </c>
      <c r="B80" s="100">
        <v>3096.16</v>
      </c>
      <c r="C80">
        <v>27.36</v>
      </c>
      <c r="D80" s="2">
        <v>0.0089</v>
      </c>
      <c r="E80" s="21">
        <v>0.5034722222222222</v>
      </c>
    </row>
    <row r="81" spans="1:5" ht="13.5">
      <c r="A81" t="s">
        <v>495</v>
      </c>
      <c r="B81" s="100">
        <v>2265.07</v>
      </c>
      <c r="C81">
        <v>17.39</v>
      </c>
      <c r="D81" s="2">
        <v>0.0077</v>
      </c>
      <c r="E81" s="21">
        <v>0.5034722222222222</v>
      </c>
    </row>
    <row r="82" spans="1:5" ht="13.5">
      <c r="A82" t="s">
        <v>496</v>
      </c>
      <c r="B82" s="100">
        <v>11503</v>
      </c>
      <c r="C82">
        <v>114.5</v>
      </c>
      <c r="D82" s="2">
        <v>0.0101</v>
      </c>
      <c r="E82" s="21">
        <v>0.5034722222222222</v>
      </c>
    </row>
    <row r="83" spans="1:5" ht="13.5">
      <c r="A83" t="s">
        <v>497</v>
      </c>
      <c r="B83" s="100">
        <v>4063.38</v>
      </c>
      <c r="C83">
        <v>38.32</v>
      </c>
      <c r="D83" s="2">
        <v>0.0095</v>
      </c>
      <c r="E83" s="21">
        <v>0.5034722222222222</v>
      </c>
    </row>
    <row r="84" spans="1:5" ht="13.5">
      <c r="A84" t="s">
        <v>498</v>
      </c>
      <c r="B84" s="100">
        <v>6469.57</v>
      </c>
      <c r="C84">
        <v>59.08</v>
      </c>
      <c r="D84" s="2">
        <v>0.0092</v>
      </c>
      <c r="E84" s="21">
        <v>0.5034722222222222</v>
      </c>
    </row>
    <row r="85" spans="1:5" ht="13.5">
      <c r="A85" t="s">
        <v>499</v>
      </c>
      <c r="B85" s="100">
        <v>2897.27</v>
      </c>
      <c r="C85">
        <v>29.82</v>
      </c>
      <c r="D85" s="2">
        <v>0.0104</v>
      </c>
      <c r="E85" s="21">
        <v>0.5034722222222222</v>
      </c>
    </row>
    <row r="86" spans="1:5" ht="13.5">
      <c r="A86" t="s">
        <v>500</v>
      </c>
      <c r="B86" s="100">
        <v>2140.79</v>
      </c>
      <c r="C86">
        <v>19.82</v>
      </c>
      <c r="D86" s="2">
        <v>0.0093</v>
      </c>
      <c r="E86" s="21">
        <v>0.5034722222222222</v>
      </c>
    </row>
    <row r="87" spans="1:5" ht="13.5">
      <c r="A87" t="s">
        <v>501</v>
      </c>
      <c r="B87" s="100">
        <v>7134.93</v>
      </c>
      <c r="C87">
        <v>77.62</v>
      </c>
      <c r="D87" s="2">
        <v>0.011</v>
      </c>
      <c r="E87" s="21">
        <v>0.5034722222222222</v>
      </c>
    </row>
    <row r="88" spans="1:5" ht="13.5">
      <c r="A88" t="s">
        <v>502</v>
      </c>
      <c r="B88" s="100">
        <v>15693.34</v>
      </c>
      <c r="C88">
        <v>160.83</v>
      </c>
      <c r="D88" s="2">
        <v>0.0104</v>
      </c>
      <c r="E88" s="21">
        <v>0.5034722222222222</v>
      </c>
    </row>
    <row r="89" ht="13.5">
      <c r="A89" t="s">
        <v>503</v>
      </c>
    </row>
    <row r="90" spans="1:5" ht="13.5">
      <c r="A90" t="s">
        <v>463</v>
      </c>
      <c r="B90" t="s">
        <v>464</v>
      </c>
      <c r="C90" t="s">
        <v>1008</v>
      </c>
      <c r="D90" t="s">
        <v>465</v>
      </c>
      <c r="E90" t="s">
        <v>466</v>
      </c>
    </row>
    <row r="91" spans="1:5" ht="13.5">
      <c r="A91" t="s">
        <v>729</v>
      </c>
      <c r="B91" s="100">
        <v>3291.27</v>
      </c>
      <c r="C91">
        <v>-0.86</v>
      </c>
      <c r="D91" s="2">
        <v>-0.0003</v>
      </c>
      <c r="E91" s="21">
        <v>0.5034722222222222</v>
      </c>
    </row>
    <row r="92" spans="1:5" ht="13.5">
      <c r="A92" t="s">
        <v>504</v>
      </c>
      <c r="B92" s="100">
        <v>3204.45</v>
      </c>
      <c r="C92">
        <v>-4.74</v>
      </c>
      <c r="D92" s="2">
        <v>-0.0015</v>
      </c>
      <c r="E92" s="21">
        <v>0.5034722222222222</v>
      </c>
    </row>
    <row r="93" spans="1:5" ht="13.5">
      <c r="A93" t="s">
        <v>505</v>
      </c>
      <c r="B93">
        <v>254.22</v>
      </c>
      <c r="C93">
        <v>0.22</v>
      </c>
      <c r="D93" s="2">
        <v>0.0009</v>
      </c>
      <c r="E93" s="21">
        <v>0.5034722222222222</v>
      </c>
    </row>
    <row r="94" spans="1:5" ht="13.5">
      <c r="A94" t="s">
        <v>506</v>
      </c>
      <c r="B94" s="100">
        <v>1232.87</v>
      </c>
      <c r="C94">
        <v>0.31</v>
      </c>
      <c r="D94" s="2">
        <v>0.0002</v>
      </c>
      <c r="E94" s="21">
        <v>0.5034722222222222</v>
      </c>
    </row>
    <row r="95" spans="1:5" ht="13.5">
      <c r="A95" t="s">
        <v>507</v>
      </c>
      <c r="B95">
        <v>601.97</v>
      </c>
      <c r="C95">
        <v>2.46</v>
      </c>
      <c r="D95" s="2">
        <v>0.0041</v>
      </c>
      <c r="E95" s="21">
        <v>0.5034722222222222</v>
      </c>
    </row>
    <row r="96" spans="1:5" ht="13.5">
      <c r="A96" t="s">
        <v>508</v>
      </c>
      <c r="B96" s="100">
        <v>3056.83</v>
      </c>
      <c r="C96">
        <v>-3.78</v>
      </c>
      <c r="D96" s="2">
        <v>-0.0012</v>
      </c>
      <c r="E96" s="21">
        <v>0.5034722222222222</v>
      </c>
    </row>
    <row r="97" spans="1:5" ht="13.5">
      <c r="A97" t="s">
        <v>509</v>
      </c>
      <c r="B97" s="100">
        <v>1174.02</v>
      </c>
      <c r="C97">
        <v>0.36</v>
      </c>
      <c r="D97" s="2">
        <v>0.0003</v>
      </c>
      <c r="E97" s="21">
        <v>0.5034722222222222</v>
      </c>
    </row>
    <row r="98" spans="1:5" ht="13.5">
      <c r="A98" t="s">
        <v>510</v>
      </c>
      <c r="B98" s="100">
        <v>7100.53</v>
      </c>
      <c r="C98">
        <v>-6.15</v>
      </c>
      <c r="D98" s="2">
        <v>-0.0009</v>
      </c>
      <c r="E98" s="21">
        <v>0.5034722222222222</v>
      </c>
    </row>
    <row r="99" spans="1:5" ht="13.5">
      <c r="A99" t="s">
        <v>730</v>
      </c>
      <c r="B99" s="100">
        <v>2280.12</v>
      </c>
      <c r="C99">
        <v>-2.51</v>
      </c>
      <c r="D99" s="2">
        <v>-0.0011</v>
      </c>
      <c r="E99" s="21">
        <v>0.5034722222222222</v>
      </c>
    </row>
    <row r="100" spans="1:5" ht="13.5">
      <c r="A100" t="s">
        <v>511</v>
      </c>
      <c r="B100" s="100">
        <v>5239.69</v>
      </c>
      <c r="C100">
        <v>6.19</v>
      </c>
      <c r="D100" s="2">
        <v>0.0012</v>
      </c>
      <c r="E100" s="21">
        <v>0.5034722222222222</v>
      </c>
    </row>
    <row r="101" spans="1:5" ht="13.5">
      <c r="A101" t="s">
        <v>512</v>
      </c>
      <c r="B101" s="100">
        <v>2587.25</v>
      </c>
      <c r="C101">
        <v>-3.92</v>
      </c>
      <c r="D101" s="2">
        <v>-0.0015</v>
      </c>
      <c r="E101" s="21">
        <v>0.5034722222222222</v>
      </c>
    </row>
    <row r="102" spans="1:5" ht="13.5">
      <c r="A102" t="s">
        <v>513</v>
      </c>
      <c r="B102" s="100">
        <v>12488.84</v>
      </c>
      <c r="C102">
        <v>-5.43</v>
      </c>
      <c r="D102" s="2">
        <v>-0.0004</v>
      </c>
      <c r="E102" s="21">
        <v>0.5034722222222222</v>
      </c>
    </row>
    <row r="103" ht="13.5">
      <c r="A103" t="s">
        <v>514</v>
      </c>
    </row>
    <row r="104" spans="1:5" ht="13.5">
      <c r="A104" t="s">
        <v>463</v>
      </c>
      <c r="B104" t="s">
        <v>464</v>
      </c>
      <c r="C104" t="s">
        <v>1008</v>
      </c>
      <c r="D104" t="s">
        <v>465</v>
      </c>
      <c r="E104" t="s">
        <v>466</v>
      </c>
    </row>
    <row r="105" spans="1:5" ht="13.5">
      <c r="A105" t="s">
        <v>731</v>
      </c>
      <c r="B105" s="100">
        <v>7414.12</v>
      </c>
      <c r="C105">
        <v>-12.84</v>
      </c>
      <c r="D105" s="2">
        <v>-0.0017</v>
      </c>
      <c r="E105" s="21">
        <v>0.513888888888889</v>
      </c>
    </row>
    <row r="106" spans="1:5" ht="13.5">
      <c r="A106" t="s">
        <v>515</v>
      </c>
      <c r="B106">
        <v>129.7</v>
      </c>
      <c r="C106">
        <v>0.48</v>
      </c>
      <c r="D106" s="2">
        <v>0.0037</v>
      </c>
      <c r="E106" s="21">
        <v>0.5</v>
      </c>
    </row>
    <row r="107" spans="1:5" ht="13.5">
      <c r="A107" t="s">
        <v>516</v>
      </c>
      <c r="B107" s="100">
        <v>5134.34</v>
      </c>
      <c r="C107">
        <v>0.3</v>
      </c>
      <c r="D107" s="2">
        <v>0.0001</v>
      </c>
      <c r="E107" s="21">
        <v>0.5034722222222222</v>
      </c>
    </row>
    <row r="108" ht="13.5">
      <c r="A108" t="s">
        <v>517</v>
      </c>
    </row>
    <row r="109" spans="1:5" ht="13.5">
      <c r="A109" t="s">
        <v>463</v>
      </c>
      <c r="B109" t="s">
        <v>464</v>
      </c>
      <c r="C109" t="s">
        <v>1008</v>
      </c>
      <c r="D109" t="s">
        <v>465</v>
      </c>
      <c r="E109" t="s">
        <v>466</v>
      </c>
    </row>
    <row r="110" spans="1:5" ht="13.5">
      <c r="A110" t="s">
        <v>518</v>
      </c>
      <c r="B110" s="100">
        <v>3362.48</v>
      </c>
      <c r="C110">
        <v>14.52</v>
      </c>
      <c r="D110" s="2">
        <v>0.0043</v>
      </c>
      <c r="E110" s="21">
        <v>0.5006944444444444</v>
      </c>
    </row>
    <row r="111" spans="1:5" ht="13.5">
      <c r="A111" t="s">
        <v>519</v>
      </c>
      <c r="B111" s="100">
        <v>1592.46</v>
      </c>
      <c r="C111">
        <v>4.95</v>
      </c>
      <c r="D111" s="2">
        <v>0.0031</v>
      </c>
      <c r="E111" s="21">
        <v>0.5</v>
      </c>
    </row>
    <row r="112" spans="1:5" ht="13.5">
      <c r="A112" t="s">
        <v>732</v>
      </c>
      <c r="B112">
        <v>208.32</v>
      </c>
      <c r="C112">
        <v>0.76</v>
      </c>
      <c r="D112" s="2">
        <v>0.0037</v>
      </c>
      <c r="E112" s="21">
        <v>0.5</v>
      </c>
    </row>
    <row r="113" spans="1:5" ht="13.5">
      <c r="A113" t="s">
        <v>520</v>
      </c>
      <c r="B113" s="100">
        <v>1560.1</v>
      </c>
      <c r="C113">
        <v>5.5</v>
      </c>
      <c r="D113" s="2">
        <v>0.0035</v>
      </c>
      <c r="E113" s="21">
        <v>0.5</v>
      </c>
    </row>
    <row r="114" spans="1:5" ht="13.5">
      <c r="A114" t="s">
        <v>521</v>
      </c>
      <c r="B114" s="100">
        <v>1384.98</v>
      </c>
      <c r="C114">
        <v>4.86</v>
      </c>
      <c r="D114" s="2">
        <v>0.0035</v>
      </c>
      <c r="E114" s="21">
        <v>0.5</v>
      </c>
    </row>
    <row r="115" spans="1:5" ht="13.5">
      <c r="A115" t="s">
        <v>522</v>
      </c>
      <c r="B115">
        <v>505.72</v>
      </c>
      <c r="C115">
        <v>1.09</v>
      </c>
      <c r="D115" s="2">
        <v>0.0022</v>
      </c>
      <c r="E115" s="21">
        <v>0.5</v>
      </c>
    </row>
    <row r="116" spans="1:5" ht="13.5">
      <c r="A116" t="s">
        <v>523</v>
      </c>
      <c r="B116" s="100">
        <v>1221.87</v>
      </c>
      <c r="C116">
        <v>-0.69</v>
      </c>
      <c r="D116" s="2">
        <v>-0.0006</v>
      </c>
      <c r="E116" s="21">
        <v>0.5</v>
      </c>
    </row>
    <row r="117" ht="13.5">
      <c r="A117" t="s">
        <v>524</v>
      </c>
    </row>
    <row r="118" spans="1:5" ht="13.5">
      <c r="A118" t="s">
        <v>463</v>
      </c>
      <c r="B118" t="s">
        <v>464</v>
      </c>
      <c r="C118" t="s">
        <v>1008</v>
      </c>
      <c r="D118" t="s">
        <v>465</v>
      </c>
      <c r="E118" t="s">
        <v>466</v>
      </c>
    </row>
    <row r="119" spans="1:5" ht="13.5">
      <c r="A119" t="s">
        <v>469</v>
      </c>
      <c r="B119" s="100">
        <v>4615.9</v>
      </c>
      <c r="C119">
        <v>21.8</v>
      </c>
      <c r="D119" s="2">
        <v>0.0047</v>
      </c>
      <c r="E119" s="21">
        <v>0.513888888888889</v>
      </c>
    </row>
    <row r="120" spans="1:5" ht="13.5">
      <c r="A120" t="s">
        <v>525</v>
      </c>
      <c r="B120" s="100">
        <v>4609.2</v>
      </c>
      <c r="C120">
        <v>20.7</v>
      </c>
      <c r="D120" s="2">
        <v>0.0045</v>
      </c>
      <c r="E120" s="21">
        <v>0.513888888888889</v>
      </c>
    </row>
    <row r="121" spans="1:5" ht="13.5">
      <c r="A121" t="s">
        <v>526</v>
      </c>
      <c r="B121" s="100">
        <v>4631.4</v>
      </c>
      <c r="C121">
        <v>16.5</v>
      </c>
      <c r="D121" s="2">
        <v>0.0036</v>
      </c>
      <c r="E121" s="21">
        <v>0.513888888888889</v>
      </c>
    </row>
    <row r="122" ht="13.5">
      <c r="A122" t="s">
        <v>527</v>
      </c>
    </row>
    <row r="123" spans="1:5" ht="13.5">
      <c r="A123" t="s">
        <v>463</v>
      </c>
      <c r="B123" t="s">
        <v>464</v>
      </c>
      <c r="C123" t="s">
        <v>1008</v>
      </c>
      <c r="D123" t="s">
        <v>465</v>
      </c>
      <c r="E123" t="s">
        <v>466</v>
      </c>
    </row>
    <row r="124" spans="1:5" ht="13.5">
      <c r="A124" t="s">
        <v>528</v>
      </c>
      <c r="B124" s="100">
        <v>3148.49</v>
      </c>
      <c r="C124">
        <v>-3.2</v>
      </c>
      <c r="D124" s="2">
        <v>-0.001</v>
      </c>
      <c r="E124" s="21">
        <v>0.4986111111111111</v>
      </c>
    </row>
    <row r="125" spans="1:5" ht="13.5">
      <c r="A125" t="s">
        <v>529</v>
      </c>
      <c r="B125">
        <v>847.94</v>
      </c>
      <c r="C125">
        <v>-1.2</v>
      </c>
      <c r="D125" s="2">
        <v>-0.0014</v>
      </c>
      <c r="E125" s="21">
        <v>0.5</v>
      </c>
    </row>
    <row r="126" spans="1:5" ht="13.5">
      <c r="A126" t="s">
        <v>530</v>
      </c>
      <c r="B126" s="100">
        <v>5671.75</v>
      </c>
      <c r="C126">
        <v>-0.72</v>
      </c>
      <c r="D126" s="2">
        <v>-0.0001</v>
      </c>
      <c r="E126" s="21">
        <v>0.5</v>
      </c>
    </row>
    <row r="127" spans="1:5" ht="13.5">
      <c r="A127" t="s">
        <v>531</v>
      </c>
      <c r="B127">
        <v>752.13</v>
      </c>
      <c r="C127">
        <v>-0.8</v>
      </c>
      <c r="D127" s="2">
        <v>-0.0011</v>
      </c>
      <c r="E127" s="21">
        <v>0.4916666666666667</v>
      </c>
    </row>
    <row r="128" ht="13.5">
      <c r="A128" t="s">
        <v>532</v>
      </c>
    </row>
    <row r="129" spans="1:5" ht="13.5">
      <c r="A129" t="s">
        <v>463</v>
      </c>
      <c r="B129" t="s">
        <v>464</v>
      </c>
      <c r="C129" t="s">
        <v>1008</v>
      </c>
      <c r="D129" t="s">
        <v>465</v>
      </c>
      <c r="E129" t="s">
        <v>466</v>
      </c>
    </row>
    <row r="130" spans="1:5" ht="13.5">
      <c r="A130" t="s">
        <v>533</v>
      </c>
      <c r="B130" s="100">
        <v>9667.17</v>
      </c>
      <c r="C130">
        <v>-19.01</v>
      </c>
      <c r="D130" s="2">
        <v>-0.002</v>
      </c>
      <c r="E130" s="71">
        <v>40234</v>
      </c>
    </row>
    <row r="131" spans="1:5" ht="13.5">
      <c r="A131" t="s">
        <v>534</v>
      </c>
      <c r="B131" s="100">
        <v>10082.24</v>
      </c>
      <c r="C131">
        <v>11.56</v>
      </c>
      <c r="D131" s="2">
        <v>0.0011</v>
      </c>
      <c r="E131" s="71">
        <v>40234</v>
      </c>
    </row>
    <row r="132" spans="1:5" ht="13.5">
      <c r="A132" t="s">
        <v>535</v>
      </c>
      <c r="B132" s="100">
        <v>6856.82</v>
      </c>
      <c r="C132">
        <v>-14.79</v>
      </c>
      <c r="D132" s="2">
        <v>-0.0022</v>
      </c>
      <c r="E132" s="71">
        <v>40234</v>
      </c>
    </row>
    <row r="133" ht="13.5">
      <c r="A133" t="s">
        <v>536</v>
      </c>
    </row>
    <row r="134" spans="1:5" ht="13.5">
      <c r="A134" t="s">
        <v>463</v>
      </c>
      <c r="B134" t="s">
        <v>464</v>
      </c>
      <c r="C134" t="s">
        <v>1008</v>
      </c>
      <c r="D134" t="s">
        <v>465</v>
      </c>
      <c r="E134" t="s">
        <v>466</v>
      </c>
    </row>
    <row r="135" spans="1:5" ht="13.5">
      <c r="A135" t="s">
        <v>537</v>
      </c>
      <c r="B135" s="100">
        <v>3782.25</v>
      </c>
      <c r="C135">
        <v>6.74</v>
      </c>
      <c r="D135" s="2">
        <v>0.0018</v>
      </c>
      <c r="E135" s="71">
        <v>40234</v>
      </c>
    </row>
    <row r="136" ht="13.5">
      <c r="A136" t="s">
        <v>538</v>
      </c>
    </row>
    <row r="137" spans="1:5" ht="13.5">
      <c r="A137" t="s">
        <v>463</v>
      </c>
      <c r="B137" t="s">
        <v>464</v>
      </c>
      <c r="C137" t="s">
        <v>1008</v>
      </c>
      <c r="D137" t="s">
        <v>465</v>
      </c>
      <c r="E137" t="s">
        <v>466</v>
      </c>
    </row>
    <row r="138" spans="1:5" ht="13.5">
      <c r="A138" t="s">
        <v>539</v>
      </c>
      <c r="B138">
        <v>718.12</v>
      </c>
      <c r="C138">
        <v>1.02</v>
      </c>
      <c r="D138" s="2">
        <v>0.0014</v>
      </c>
      <c r="E138" s="21">
        <v>0.5</v>
      </c>
    </row>
    <row r="139" spans="1:5" ht="13.5">
      <c r="A139" t="s">
        <v>540</v>
      </c>
      <c r="B139">
        <v>505.19</v>
      </c>
      <c r="C139">
        <v>0.83</v>
      </c>
      <c r="D139" s="2">
        <v>0.0016</v>
      </c>
      <c r="E139" s="21">
        <v>0.5</v>
      </c>
    </row>
    <row r="140" ht="13.5">
      <c r="A140" t="s">
        <v>541</v>
      </c>
    </row>
    <row r="141" spans="1:5" ht="13.5">
      <c r="A141" t="s">
        <v>463</v>
      </c>
      <c r="B141" t="s">
        <v>464</v>
      </c>
      <c r="C141" t="s">
        <v>1008</v>
      </c>
      <c r="D141" t="s">
        <v>465</v>
      </c>
      <c r="E141" t="s">
        <v>466</v>
      </c>
    </row>
    <row r="142" spans="1:5" ht="13.5">
      <c r="A142" t="s">
        <v>542</v>
      </c>
      <c r="B142" s="100">
        <v>2549.03</v>
      </c>
      <c r="C142">
        <v>-30.38</v>
      </c>
      <c r="D142" s="2">
        <v>-0.0118</v>
      </c>
      <c r="E142" s="71">
        <v>40234</v>
      </c>
    </row>
    <row r="143" spans="1:5" ht="13.5">
      <c r="A143" t="s">
        <v>543</v>
      </c>
      <c r="B143">
        <v>496.03</v>
      </c>
      <c r="C143">
        <v>-6.36</v>
      </c>
      <c r="D143" s="2">
        <v>-0.0127</v>
      </c>
      <c r="E143" s="71">
        <v>40234</v>
      </c>
    </row>
    <row r="144" ht="13.5">
      <c r="A144" t="s">
        <v>544</v>
      </c>
    </row>
    <row r="145" spans="1:5" ht="13.5">
      <c r="A145" t="s">
        <v>463</v>
      </c>
      <c r="B145" t="s">
        <v>464</v>
      </c>
      <c r="C145" t="s">
        <v>1008</v>
      </c>
      <c r="D145" t="s">
        <v>465</v>
      </c>
      <c r="E145" t="s">
        <v>466</v>
      </c>
    </row>
    <row r="146" spans="1:5" ht="13.5">
      <c r="A146" t="s">
        <v>545</v>
      </c>
      <c r="B146" s="100">
        <v>16254.2</v>
      </c>
      <c r="C146">
        <v>-1.77</v>
      </c>
      <c r="D146" s="2">
        <v>-0.0001</v>
      </c>
      <c r="E146" s="71">
        <v>40234</v>
      </c>
    </row>
    <row r="147" spans="1:5" ht="13.5">
      <c r="A147" t="s">
        <v>546</v>
      </c>
      <c r="B147" s="100">
        <v>4859.75</v>
      </c>
      <c r="C147">
        <v>0</v>
      </c>
      <c r="D147" s="2">
        <v>0</v>
      </c>
      <c r="E147" s="21">
        <v>0.513888888888889</v>
      </c>
    </row>
    <row r="148" spans="1:5" ht="13.5">
      <c r="A148" t="s">
        <v>547</v>
      </c>
      <c r="B148" s="100">
        <v>6432.76</v>
      </c>
      <c r="C148">
        <v>0</v>
      </c>
      <c r="D148" s="2">
        <v>0</v>
      </c>
      <c r="E148" s="21">
        <v>0.513888888888889</v>
      </c>
    </row>
    <row r="149" spans="1:5" ht="13.5">
      <c r="A149" t="s">
        <v>548</v>
      </c>
      <c r="B149" s="100">
        <v>2044.06</v>
      </c>
      <c r="C149">
        <v>0</v>
      </c>
      <c r="D149" s="2">
        <v>0</v>
      </c>
      <c r="E149" s="21">
        <v>0.513888888888889</v>
      </c>
    </row>
    <row r="150" spans="1:5" ht="13.5">
      <c r="A150" t="s">
        <v>549</v>
      </c>
      <c r="B150" s="100">
        <v>8645.1</v>
      </c>
      <c r="C150">
        <v>0</v>
      </c>
      <c r="D150" s="2">
        <v>0</v>
      </c>
      <c r="E150" s="21">
        <v>0.513888888888889</v>
      </c>
    </row>
    <row r="151" ht="13.5">
      <c r="A151" t="s">
        <v>550</v>
      </c>
    </row>
    <row r="152" spans="1:5" ht="13.5">
      <c r="A152" t="s">
        <v>463</v>
      </c>
      <c r="B152" t="s">
        <v>464</v>
      </c>
      <c r="C152" t="s">
        <v>1008</v>
      </c>
      <c r="D152" t="s">
        <v>465</v>
      </c>
      <c r="E152" t="s">
        <v>466</v>
      </c>
    </row>
    <row r="153" spans="1:5" ht="13.5">
      <c r="A153" t="s">
        <v>551</v>
      </c>
      <c r="B153" s="100">
        <v>2741.76</v>
      </c>
      <c r="C153">
        <v>-7.39</v>
      </c>
      <c r="D153" s="2">
        <v>-0.0027</v>
      </c>
      <c r="E153" s="21">
        <v>0.5034722222222222</v>
      </c>
    </row>
    <row r="154" spans="1:5" ht="13.5">
      <c r="A154" t="s">
        <v>552</v>
      </c>
      <c r="B154">
        <v>677.93</v>
      </c>
      <c r="C154">
        <v>-1.81</v>
      </c>
      <c r="D154" s="2">
        <v>-0.0027</v>
      </c>
      <c r="E154" s="21">
        <v>0.5034722222222222</v>
      </c>
    </row>
    <row r="155" ht="13.5">
      <c r="A155" t="s">
        <v>553</v>
      </c>
    </row>
    <row r="156" spans="1:5" ht="13.5">
      <c r="A156" t="s">
        <v>463</v>
      </c>
      <c r="B156" t="s">
        <v>464</v>
      </c>
      <c r="C156" t="s">
        <v>1008</v>
      </c>
      <c r="D156" t="s">
        <v>465</v>
      </c>
      <c r="E156" t="s">
        <v>466</v>
      </c>
    </row>
    <row r="157" spans="1:5" ht="13.5">
      <c r="A157" t="s">
        <v>554</v>
      </c>
      <c r="B157" s="100">
        <v>1270.78</v>
      </c>
      <c r="C157">
        <v>0</v>
      </c>
      <c r="D157" s="2">
        <v>0</v>
      </c>
      <c r="E157" s="71">
        <v>40234</v>
      </c>
    </row>
    <row r="158" spans="1:5" ht="13.5">
      <c r="A158" t="s">
        <v>556</v>
      </c>
      <c r="B158" s="100">
        <v>8560.2</v>
      </c>
      <c r="C158">
        <v>1.04</v>
      </c>
      <c r="D158" s="2">
        <v>0.0001</v>
      </c>
      <c r="E158" s="71">
        <v>40234</v>
      </c>
    </row>
    <row r="159" ht="13.5">
      <c r="A159" t="s">
        <v>557</v>
      </c>
    </row>
    <row r="160" spans="1:5" ht="13.5">
      <c r="A160" t="s">
        <v>463</v>
      </c>
      <c r="B160" t="s">
        <v>464</v>
      </c>
      <c r="C160" t="s">
        <v>1008</v>
      </c>
      <c r="D160" t="s">
        <v>465</v>
      </c>
      <c r="E160" t="s">
        <v>466</v>
      </c>
    </row>
    <row r="161" spans="1:5" ht="13.5">
      <c r="A161" t="s">
        <v>558</v>
      </c>
      <c r="B161" s="100">
        <v>3020.12</v>
      </c>
      <c r="C161">
        <v>-11.14</v>
      </c>
      <c r="D161" s="2">
        <v>-0.0037</v>
      </c>
      <c r="E161" s="21">
        <v>0.513888888888889</v>
      </c>
    </row>
    <row r="162" ht="13.5">
      <c r="A162" t="s">
        <v>559</v>
      </c>
    </row>
    <row r="163" spans="1:5" ht="13.5">
      <c r="A163" t="s">
        <v>463</v>
      </c>
      <c r="B163" t="s">
        <v>464</v>
      </c>
      <c r="C163" t="s">
        <v>1008</v>
      </c>
      <c r="D163" t="s">
        <v>465</v>
      </c>
      <c r="E163" t="s">
        <v>466</v>
      </c>
    </row>
    <row r="164" spans="1:5" ht="13.5">
      <c r="A164" t="s">
        <v>560</v>
      </c>
      <c r="B164">
        <v>495.08</v>
      </c>
      <c r="C164">
        <v>0.09</v>
      </c>
      <c r="D164" s="2">
        <v>0.0002</v>
      </c>
      <c r="E164" s="21">
        <v>0.5069444444444444</v>
      </c>
    </row>
    <row r="165" spans="1:5" ht="13.5">
      <c r="A165" t="s">
        <v>561</v>
      </c>
      <c r="B165">
        <v>163.38</v>
      </c>
      <c r="C165">
        <v>1.06</v>
      </c>
      <c r="D165" s="2">
        <v>0.0065</v>
      </c>
      <c r="E165" s="21">
        <v>0.5069444444444444</v>
      </c>
    </row>
    <row r="166" ht="13.5">
      <c r="A166" t="s">
        <v>632</v>
      </c>
    </row>
    <row r="167" spans="1:5" ht="13.5">
      <c r="A167" t="s">
        <v>463</v>
      </c>
      <c r="B167" t="s">
        <v>464</v>
      </c>
      <c r="C167" t="s">
        <v>1008</v>
      </c>
      <c r="D167" t="s">
        <v>465</v>
      </c>
      <c r="E167" t="s">
        <v>466</v>
      </c>
    </row>
    <row r="168" spans="1:5" ht="13.5">
      <c r="A168" t="s">
        <v>633</v>
      </c>
      <c r="B168" s="100">
        <v>5683.93</v>
      </c>
      <c r="C168">
        <v>-7.1</v>
      </c>
      <c r="D168" s="2">
        <v>-0.0012</v>
      </c>
      <c r="E168" s="71">
        <v>40234</v>
      </c>
    </row>
    <row r="169" ht="13.5">
      <c r="A169" t="s">
        <v>634</v>
      </c>
    </row>
    <row r="170" spans="1:5" ht="13.5">
      <c r="A170" t="s">
        <v>463</v>
      </c>
      <c r="B170" t="s">
        <v>464</v>
      </c>
      <c r="C170" t="s">
        <v>1008</v>
      </c>
      <c r="D170" t="s">
        <v>465</v>
      </c>
      <c r="E170" t="s">
        <v>466</v>
      </c>
    </row>
    <row r="171" spans="1:5" ht="13.5">
      <c r="A171" t="s">
        <v>635</v>
      </c>
      <c r="B171" s="100">
        <v>7058.3</v>
      </c>
      <c r="C171">
        <v>68.53</v>
      </c>
      <c r="D171" s="2">
        <v>0.0098</v>
      </c>
      <c r="E171" s="71">
        <v>40233</v>
      </c>
    </row>
    <row r="172" ht="13.5">
      <c r="A172" t="s">
        <v>636</v>
      </c>
    </row>
    <row r="173" ht="13.5">
      <c r="A173" t="s">
        <v>637</v>
      </c>
    </row>
    <row r="174" ht="13.5">
      <c r="A174" t="s">
        <v>745</v>
      </c>
    </row>
    <row r="175" ht="13.5">
      <c r="A175" t="s">
        <v>746</v>
      </c>
    </row>
    <row r="176" ht="13.5">
      <c r="A176" t="s">
        <v>747</v>
      </c>
    </row>
    <row r="177" ht="13.5">
      <c r="A177" t="s">
        <v>748</v>
      </c>
    </row>
    <row r="178" ht="13.5">
      <c r="A178" t="s">
        <v>749</v>
      </c>
    </row>
    <row r="179" ht="13.5">
      <c r="A179" t="s">
        <v>638</v>
      </c>
    </row>
    <row r="180" ht="13.5">
      <c r="A180" t="s">
        <v>639</v>
      </c>
    </row>
    <row r="181" ht="13.5">
      <c r="A181" t="s">
        <v>750</v>
      </c>
    </row>
    <row r="182" ht="13.5">
      <c r="A182" t="s">
        <v>1569</v>
      </c>
    </row>
    <row r="183" ht="13.5">
      <c r="A183" t="s">
        <v>751</v>
      </c>
    </row>
    <row r="184" ht="13.5">
      <c r="A184" t="s">
        <v>752</v>
      </c>
    </row>
    <row r="185" ht="13.5">
      <c r="A185" t="s">
        <v>746</v>
      </c>
    </row>
    <row r="186" ht="13.5">
      <c r="A186" t="s">
        <v>640</v>
      </c>
    </row>
    <row r="187" ht="13.5">
      <c r="A187" t="s">
        <v>703</v>
      </c>
    </row>
    <row r="188" ht="13.5">
      <c r="A188" t="s">
        <v>702</v>
      </c>
    </row>
    <row r="189" ht="13.5">
      <c r="A189" t="s">
        <v>746</v>
      </c>
    </row>
    <row r="193" ht="13.5">
      <c r="A193" t="s">
        <v>641</v>
      </c>
    </row>
    <row r="194" ht="13.5">
      <c r="A194" t="s">
        <v>642</v>
      </c>
    </row>
    <row r="195" ht="13.5">
      <c r="A195" t="s">
        <v>643</v>
      </c>
    </row>
    <row r="196" ht="13.5">
      <c r="A196" t="s">
        <v>644</v>
      </c>
    </row>
    <row r="197" ht="13.5">
      <c r="A197" t="s">
        <v>268</v>
      </c>
    </row>
    <row r="198" ht="13.5">
      <c r="A198" t="s">
        <v>645</v>
      </c>
    </row>
    <row r="199" ht="13.5">
      <c r="A199" t="s">
        <v>646</v>
      </c>
    </row>
    <row r="200" ht="13.5">
      <c r="A200" t="s">
        <v>656</v>
      </c>
    </row>
    <row r="201" ht="13.5">
      <c r="A201" t="s">
        <v>647</v>
      </c>
    </row>
    <row r="202" ht="13.5">
      <c r="A202" t="s">
        <v>648</v>
      </c>
    </row>
    <row r="203" ht="13.5">
      <c r="A203" t="s">
        <v>426</v>
      </c>
    </row>
    <row r="204" ht="13.5">
      <c r="A204" t="s">
        <v>649</v>
      </c>
    </row>
    <row r="205" ht="13.5">
      <c r="A205" t="s">
        <v>650</v>
      </c>
    </row>
    <row r="206" ht="13.5">
      <c r="A206" t="s">
        <v>427</v>
      </c>
    </row>
    <row r="207" ht="13.5">
      <c r="A207" t="s">
        <v>651</v>
      </c>
    </row>
    <row r="208" ht="13.5">
      <c r="A208" t="s">
        <v>652</v>
      </c>
    </row>
    <row r="209" ht="13.5">
      <c r="A209" t="s">
        <v>653</v>
      </c>
    </row>
    <row r="210" ht="13.5">
      <c r="A210" t="s">
        <v>654</v>
      </c>
    </row>
    <row r="211" ht="13.5">
      <c r="A211" t="s">
        <v>655</v>
      </c>
    </row>
  </sheetData>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3"/>
  <dimension ref="A1:K236"/>
  <sheetViews>
    <sheetView workbookViewId="0" topLeftCell="A231">
      <selection activeCell="A246" sqref="A246"/>
    </sheetView>
  </sheetViews>
  <sheetFormatPr defaultColWidth="9.00390625" defaultRowHeight="13.5"/>
  <cols>
    <col min="1" max="1" width="33.00390625" style="0" bestFit="1" customWidth="1"/>
    <col min="2" max="2" width="12.125" style="0" bestFit="1" customWidth="1"/>
    <col min="3" max="3" width="11.125" style="0" customWidth="1"/>
    <col min="4" max="4" width="15.00390625" style="0" customWidth="1"/>
    <col min="5" max="5" width="9.625" style="0" customWidth="1"/>
    <col min="6" max="6" width="13.875" style="0" bestFit="1" customWidth="1"/>
    <col min="7" max="7" width="10.125" style="0" bestFit="1" customWidth="1"/>
    <col min="8" max="8" width="34.00390625" style="0" bestFit="1" customWidth="1"/>
    <col min="9" max="9" width="10.50390625" style="0" bestFit="1" customWidth="1"/>
  </cols>
  <sheetData>
    <row r="1" ht="13.5">
      <c r="I1" s="3"/>
    </row>
    <row r="2" spans="1:10" ht="13.5">
      <c r="A2" t="s">
        <v>2018</v>
      </c>
      <c r="C2" t="s">
        <v>2019</v>
      </c>
      <c r="D2" t="s">
        <v>2040</v>
      </c>
      <c r="E2" t="s">
        <v>50</v>
      </c>
      <c r="F2" t="s">
        <v>51</v>
      </c>
      <c r="G2" t="s">
        <v>1022</v>
      </c>
      <c r="H2" t="s">
        <v>1017</v>
      </c>
      <c r="I2" t="s">
        <v>1024</v>
      </c>
      <c r="J2" t="s">
        <v>1042</v>
      </c>
    </row>
    <row r="3" spans="1:9" ht="13.5">
      <c r="A3" s="9" t="s">
        <v>2026</v>
      </c>
      <c r="B3" s="10" t="b">
        <v>1</v>
      </c>
      <c r="C3" s="15">
        <v>40255</v>
      </c>
      <c r="D3" s="27">
        <v>0.625</v>
      </c>
      <c r="E3" s="99">
        <v>940.79</v>
      </c>
      <c r="F3" s="10">
        <v>-6.64</v>
      </c>
      <c r="G3" s="28">
        <f>(F3+I3)/(E3-F3)</f>
        <v>-0.007008433340721742</v>
      </c>
      <c r="H3" s="42" t="str">
        <f>HYPERLINK("http://www.tse.or.jp/market/REALIDX/def01.html","TOPIX（一部総合）")</f>
        <v>TOPIX（一部総合）</v>
      </c>
      <c r="I3" s="81"/>
    </row>
    <row r="4" spans="1:9" ht="13.5">
      <c r="A4" s="32" t="s">
        <v>1010</v>
      </c>
      <c r="B4" s="12" t="b">
        <v>1</v>
      </c>
      <c r="C4" s="16">
        <v>40255</v>
      </c>
      <c r="D4" s="29">
        <v>0.625</v>
      </c>
      <c r="E4" s="57">
        <v>931.34</v>
      </c>
      <c r="F4" s="12">
        <v>-0.04</v>
      </c>
      <c r="G4" s="30">
        <f>(F4+I4)/(E4-F4)</f>
        <v>-4.294702484485388E-05</v>
      </c>
      <c r="H4" s="43" t="str">
        <f>HYPERLINK("http://quote.tse.or.jp/tse/quote.cgi?F=histidx/RealIndex&amp;QCODE=155","東証REIT指数")</f>
        <v>東証REIT指数</v>
      </c>
      <c r="I4" s="82"/>
    </row>
    <row r="5" spans="1:9" ht="13.5">
      <c r="A5" s="11" t="s">
        <v>55</v>
      </c>
      <c r="B5" s="12" t="b">
        <f>OR(B13,B117)</f>
        <v>1</v>
      </c>
      <c r="C5" s="16">
        <v>40255</v>
      </c>
      <c r="D5" s="29">
        <v>0.625</v>
      </c>
      <c r="E5" s="57">
        <v>139.81</v>
      </c>
      <c r="F5" s="12">
        <v>-1.19</v>
      </c>
      <c r="G5" s="30">
        <f aca="true" t="shared" si="0" ref="G5:G33">(F5+I5)/(E5-F5)</f>
        <v>-0.008439716312056738</v>
      </c>
      <c r="H5" s="43" t="str">
        <f>HYPERLINK("http://www.tse.or.jp/market/REALIDX/def32.html","銀行業")</f>
        <v>銀行業</v>
      </c>
      <c r="I5" s="82"/>
    </row>
    <row r="6" spans="1:9" ht="13.5">
      <c r="A6" s="11" t="s">
        <v>56</v>
      </c>
      <c r="B6" s="12" t="b">
        <v>1</v>
      </c>
      <c r="C6" s="16">
        <v>40255</v>
      </c>
      <c r="D6" s="29">
        <v>0.625</v>
      </c>
      <c r="E6" s="57">
        <v>1376.96</v>
      </c>
      <c r="F6" s="12">
        <v>-15.56</v>
      </c>
      <c r="G6" s="30">
        <f t="shared" si="0"/>
        <v>-0.011173986729095453</v>
      </c>
      <c r="H6" s="43" t="str">
        <f>HYPERLINK("http://www.tse.or.jp/market/REALIDX/def20.html","電気機器")</f>
        <v>電気機器</v>
      </c>
      <c r="I6" s="82"/>
    </row>
    <row r="7" spans="1:9" ht="13.5">
      <c r="A7" s="11" t="s">
        <v>2039</v>
      </c>
      <c r="B7" s="12" t="b">
        <v>1</v>
      </c>
      <c r="C7" s="16">
        <v>40255</v>
      </c>
      <c r="D7" s="29">
        <v>0.6458333333357587</v>
      </c>
      <c r="E7" s="57">
        <v>19036474314292.316</v>
      </c>
      <c r="F7" s="12">
        <v>-83019095584.92969</v>
      </c>
      <c r="G7" s="30">
        <f t="shared" si="0"/>
        <v>-0.004342117952876383</v>
      </c>
      <c r="H7" s="43" t="str">
        <f>HYPERLINK("http://qr.nomura.co.jp/QR/FRCNRI/daily-j.html","Russell/Nomura 小型コア")</f>
        <v>Russell/Nomura 小型コア</v>
      </c>
      <c r="I7" s="82"/>
    </row>
    <row r="8" spans="1:9" ht="13.5">
      <c r="A8" s="32" t="s">
        <v>2036</v>
      </c>
      <c r="B8" s="12" t="b">
        <v>1</v>
      </c>
      <c r="C8" s="16">
        <v>40255</v>
      </c>
      <c r="D8" s="29">
        <v>0.625</v>
      </c>
      <c r="E8" s="57">
        <v>531.24</v>
      </c>
      <c r="F8" s="12">
        <v>-4.08</v>
      </c>
      <c r="G8" s="30">
        <f t="shared" si="0"/>
        <v>-0.007621609504595382</v>
      </c>
      <c r="H8" s="43" t="str">
        <f>HYPERLINK("http://quote.tse.or.jp/tse/quote.cgi?F=histidx/RealIndex&amp;QCODE=171","TOPIX Core 30")</f>
        <v>TOPIX Core 30</v>
      </c>
      <c r="I8" s="82"/>
    </row>
    <row r="9" spans="1:9" ht="13.5">
      <c r="A9" s="32" t="s">
        <v>52</v>
      </c>
      <c r="B9" s="12" t="b">
        <f>$B$8</f>
        <v>1</v>
      </c>
      <c r="C9" s="16">
        <v>40255</v>
      </c>
      <c r="D9" s="29">
        <v>0.625</v>
      </c>
      <c r="E9" s="57">
        <v>949.04</v>
      </c>
      <c r="F9" s="12">
        <v>-7.42</v>
      </c>
      <c r="G9" s="30">
        <f t="shared" si="0"/>
        <v>-0.0077577734562867245</v>
      </c>
      <c r="H9" s="43" t="str">
        <f>HYPERLINK("http://quote.tse.or.jp/tse/quote.cgi?F=histidx/RealIndex&amp;QCODE=156","大型")</f>
        <v>大型</v>
      </c>
      <c r="I9" s="82"/>
    </row>
    <row r="10" spans="1:9" ht="13.5">
      <c r="A10" s="32" t="s">
        <v>53</v>
      </c>
      <c r="B10" s="12" t="b">
        <f>$B$8</f>
        <v>1</v>
      </c>
      <c r="C10" s="16">
        <v>40255</v>
      </c>
      <c r="D10" s="29">
        <v>0.625</v>
      </c>
      <c r="E10" s="57">
        <v>1001.77</v>
      </c>
      <c r="F10" s="12">
        <v>-6.61</v>
      </c>
      <c r="G10" s="30">
        <f t="shared" si="0"/>
        <v>-0.0065550685257541805</v>
      </c>
      <c r="H10" s="43" t="str">
        <f>HYPERLINK("http://quote.tse.or.jp/tse/quote.cgi?F=histidx/RealIndex&amp;QCODE=157","中型")</f>
        <v>中型</v>
      </c>
      <c r="I10" s="82"/>
    </row>
    <row r="11" spans="1:9" ht="13.5">
      <c r="A11" s="32" t="s">
        <v>54</v>
      </c>
      <c r="B11" s="12" t="b">
        <f>$B$8</f>
        <v>1</v>
      </c>
      <c r="C11" s="16">
        <v>40255</v>
      </c>
      <c r="D11" s="29">
        <v>0.625</v>
      </c>
      <c r="E11" s="57">
        <v>1380.98</v>
      </c>
      <c r="F11" s="12">
        <v>-4.37</v>
      </c>
      <c r="G11" s="30">
        <f t="shared" si="0"/>
        <v>-0.003154437506767243</v>
      </c>
      <c r="H11" s="43" t="str">
        <f>HYPERLINK("http://quote.tse.or.jp/tse/quote.cgi?F=histidx/RealIndex&amp;QCODE=158","小型")</f>
        <v>小型</v>
      </c>
      <c r="I11" s="82"/>
    </row>
    <row r="12" spans="1:9" ht="13.5">
      <c r="A12" s="32" t="s">
        <v>2037</v>
      </c>
      <c r="B12" s="12" t="b">
        <v>1</v>
      </c>
      <c r="C12" s="16">
        <v>40256</v>
      </c>
      <c r="D12" s="29">
        <v>0.6770833333333334</v>
      </c>
      <c r="E12" s="57">
        <v>601.22</v>
      </c>
      <c r="F12" s="12">
        <v>0.9</v>
      </c>
      <c r="G12" s="30">
        <f t="shared" si="0"/>
        <v>0.0014992004264392322</v>
      </c>
      <c r="H12" s="43" t="str">
        <f>HYPERLINK("http://www.bloomberg.com/apps/quote?T=jpquote.wm&amp;ticker=SPJES:IND","SPJES:IND  S&amp;P日本新興株100指数 ")</f>
        <v>SPJES:IND  S&amp;P日本新興株100指数 </v>
      </c>
      <c r="I12" s="82"/>
    </row>
    <row r="13" spans="1:9" ht="13.5">
      <c r="A13" s="32" t="s">
        <v>29</v>
      </c>
      <c r="B13" s="12" t="b">
        <v>1</v>
      </c>
      <c r="C13" s="16">
        <v>40255</v>
      </c>
      <c r="D13" s="29">
        <v>0.625</v>
      </c>
      <c r="E13" s="57">
        <v>144.75</v>
      </c>
      <c r="F13" s="12">
        <v>0.17</v>
      </c>
      <c r="G13" s="30">
        <f t="shared" si="0"/>
        <v>0.0011758196154378199</v>
      </c>
      <c r="H13" s="43" t="str">
        <f>HYPERLINK("http://quote.tse.or.jp/tse/quote.cgi?F=histidx/RealIndex&amp;QCODE=271","TOPIX-17 食品")</f>
        <v>TOPIX-17 食品</v>
      </c>
      <c r="I13" s="82"/>
    </row>
    <row r="14" spans="1:9" ht="13.5">
      <c r="A14" s="32" t="s">
        <v>35</v>
      </c>
      <c r="B14" s="12" t="b">
        <f>$B$13</f>
        <v>1</v>
      </c>
      <c r="C14" s="16">
        <v>40255</v>
      </c>
      <c r="D14" s="29">
        <v>0.625</v>
      </c>
      <c r="E14" s="57">
        <v>120.73</v>
      </c>
      <c r="F14" s="12">
        <v>0.09</v>
      </c>
      <c r="G14" s="30">
        <f t="shared" si="0"/>
        <v>0.0007460212201591511</v>
      </c>
      <c r="H14" s="43" t="str">
        <f>HYPERLINK("http://quote.tse.or.jp/tse/quote.cgi?F=histidx/RealIndex&amp;QCODE=272","TOPIX-17 エネルギー資源")</f>
        <v>TOPIX-17 エネルギー資源</v>
      </c>
      <c r="I14" s="82"/>
    </row>
    <row r="15" spans="1:9" ht="13.5">
      <c r="A15" s="32" t="s">
        <v>36</v>
      </c>
      <c r="B15" s="12" t="b">
        <f aca="true" t="shared" si="1" ref="B15:B29">$B$13</f>
        <v>1</v>
      </c>
      <c r="C15" s="16">
        <v>40255</v>
      </c>
      <c r="D15" s="29">
        <v>0.625</v>
      </c>
      <c r="E15" s="57">
        <v>123.25</v>
      </c>
      <c r="F15" s="12">
        <v>-1.01</v>
      </c>
      <c r="G15" s="30">
        <f t="shared" si="0"/>
        <v>-0.00812811846129084</v>
      </c>
      <c r="H15" s="43" t="str">
        <f>HYPERLINK("http://quote.tse.or.jp/tse/quote.cgi?F=histidx/RealIndex&amp;QCODE=273","TOPIX-17 建設・資材")</f>
        <v>TOPIX-17 建設・資材</v>
      </c>
      <c r="I15" s="82"/>
    </row>
    <row r="16" spans="1:9" ht="13.5">
      <c r="A16" s="32" t="s">
        <v>37</v>
      </c>
      <c r="B16" s="12" t="b">
        <f t="shared" si="1"/>
        <v>1</v>
      </c>
      <c r="C16" s="16">
        <v>40255</v>
      </c>
      <c r="D16" s="29">
        <v>0.625</v>
      </c>
      <c r="E16" s="57">
        <v>117.94</v>
      </c>
      <c r="F16" s="12">
        <v>-1.05</v>
      </c>
      <c r="G16" s="30">
        <f t="shared" si="0"/>
        <v>-0.008824270947138415</v>
      </c>
      <c r="H16" s="43" t="str">
        <f>HYPERLINK("http://quote.tse.or.jp/tse/quote.cgi?F=histidx/RealIndex&amp;QCODE=274","TOPIX-17 素材・化学")</f>
        <v>TOPIX-17 素材・化学</v>
      </c>
      <c r="I16" s="82"/>
    </row>
    <row r="17" spans="1:9" ht="13.5">
      <c r="A17" s="32" t="s">
        <v>38</v>
      </c>
      <c r="B17" s="12" t="b">
        <f t="shared" si="1"/>
        <v>1</v>
      </c>
      <c r="C17" s="16">
        <v>40255</v>
      </c>
      <c r="D17" s="29">
        <v>0.625</v>
      </c>
      <c r="E17" s="57">
        <v>108.93</v>
      </c>
      <c r="F17" s="12">
        <v>0.69</v>
      </c>
      <c r="G17" s="30">
        <f t="shared" si="0"/>
        <v>0.006374722838137471</v>
      </c>
      <c r="H17" s="43" t="str">
        <f>HYPERLINK("http://quote.tse.or.jp/tse/quote.cgi?F=histidx/RealIndex&amp;QCODE=275","TOPIX-17 医薬品")</f>
        <v>TOPIX-17 医薬品</v>
      </c>
      <c r="I17" s="82"/>
    </row>
    <row r="18" spans="1:9" ht="13.5">
      <c r="A18" s="32" t="s">
        <v>39</v>
      </c>
      <c r="B18" s="12" t="b">
        <f t="shared" si="1"/>
        <v>1</v>
      </c>
      <c r="C18" s="16">
        <v>40255</v>
      </c>
      <c r="D18" s="29">
        <v>0.625</v>
      </c>
      <c r="E18" s="57">
        <v>121.17</v>
      </c>
      <c r="F18" s="12">
        <v>-1.64</v>
      </c>
      <c r="G18" s="30">
        <f t="shared" si="0"/>
        <v>-0.013353961403794478</v>
      </c>
      <c r="H18" s="43" t="str">
        <f>HYPERLINK("http://quote.tse.or.jp/tse/quote.cgi?F=histidx/RealIndex&amp;QCODE=276","TOPIX-17 自動車･輸送機")</f>
        <v>TOPIX-17 自動車･輸送機</v>
      </c>
      <c r="I18" s="82"/>
    </row>
    <row r="19" spans="1:9" ht="13.5">
      <c r="A19" s="32" t="s">
        <v>40</v>
      </c>
      <c r="B19" s="12" t="b">
        <f t="shared" si="1"/>
        <v>1</v>
      </c>
      <c r="C19" s="16">
        <v>40255</v>
      </c>
      <c r="D19" s="29">
        <v>0.625</v>
      </c>
      <c r="E19" s="57">
        <v>233.57</v>
      </c>
      <c r="F19" s="12">
        <v>-0.46</v>
      </c>
      <c r="G19" s="30">
        <f t="shared" si="0"/>
        <v>-0.001965559970943896</v>
      </c>
      <c r="H19" s="43" t="str">
        <f>HYPERLINK("http://quote.tse.or.jp/tse/quote.cgi?F=histidx/RealIndex&amp;QCODE=277","TOPIX-17 鉄鋼・非鉄")</f>
        <v>TOPIX-17 鉄鋼・非鉄</v>
      </c>
      <c r="I19" s="82"/>
    </row>
    <row r="20" spans="1:9" ht="13.5">
      <c r="A20" s="32" t="s">
        <v>41</v>
      </c>
      <c r="B20" s="12" t="b">
        <f t="shared" si="1"/>
        <v>1</v>
      </c>
      <c r="C20" s="16">
        <v>40255</v>
      </c>
      <c r="D20" s="29">
        <v>0.625</v>
      </c>
      <c r="E20" s="57">
        <v>178.69</v>
      </c>
      <c r="F20" s="12">
        <v>-1.81</v>
      </c>
      <c r="G20" s="30">
        <f t="shared" si="0"/>
        <v>-0.010027700831024932</v>
      </c>
      <c r="H20" s="43" t="str">
        <f>HYPERLINK("http://quote.tse.or.jp/tse/quote.cgi?F=histidx/RealIndex&amp;QCODE=278","TOPIX-17 機械")</f>
        <v>TOPIX-17 機械</v>
      </c>
      <c r="I20" s="82"/>
    </row>
    <row r="21" spans="1:9" ht="13.5">
      <c r="A21" s="32" t="s">
        <v>42</v>
      </c>
      <c r="B21" s="12" t="b">
        <f t="shared" si="1"/>
        <v>1</v>
      </c>
      <c r="C21" s="16">
        <v>40255</v>
      </c>
      <c r="D21" s="29">
        <v>0.625</v>
      </c>
      <c r="E21" s="57">
        <v>107.96</v>
      </c>
      <c r="F21" s="12">
        <v>-1.33</v>
      </c>
      <c r="G21" s="30">
        <f t="shared" si="0"/>
        <v>-0.012169457406899077</v>
      </c>
      <c r="H21" s="43" t="str">
        <f>HYPERLINK("http://quote.tse.or.jp/tse/quote.cgi?F=histidx/RealIndex&amp;QCODE=279","TOPIX-17 電機・精密")</f>
        <v>TOPIX-17 電機・精密</v>
      </c>
      <c r="I21" s="82"/>
    </row>
    <row r="22" spans="1:9" ht="13.5">
      <c r="A22" s="32" t="s">
        <v>43</v>
      </c>
      <c r="B22" s="12" t="b">
        <f t="shared" si="1"/>
        <v>1</v>
      </c>
      <c r="C22" s="16">
        <v>40255</v>
      </c>
      <c r="D22" s="29">
        <v>0.625</v>
      </c>
      <c r="E22" s="57">
        <v>88.9</v>
      </c>
      <c r="F22" s="12">
        <v>-0.27</v>
      </c>
      <c r="G22" s="30">
        <f t="shared" si="0"/>
        <v>-0.003027924189749916</v>
      </c>
      <c r="H22" s="43" t="str">
        <f>HYPERLINK("http://quote.tse.or.jp/tse/quote.cgi?F=histidx/RealIndex&amp;QCODE=280","TOPIX-17 情報通信・サービスその他")</f>
        <v>TOPIX-17 情報通信・サービスその他</v>
      </c>
      <c r="I22" s="82"/>
    </row>
    <row r="23" spans="1:9" ht="13.5">
      <c r="A23" s="32" t="s">
        <v>44</v>
      </c>
      <c r="B23" s="12" t="b">
        <f t="shared" si="1"/>
        <v>1</v>
      </c>
      <c r="C23" s="16">
        <v>40255</v>
      </c>
      <c r="D23" s="29">
        <v>0.625</v>
      </c>
      <c r="E23" s="57">
        <v>115.42</v>
      </c>
      <c r="F23" s="12">
        <v>0.24</v>
      </c>
      <c r="G23" s="30">
        <f t="shared" si="0"/>
        <v>0.0020836950859524223</v>
      </c>
      <c r="H23" s="43" t="str">
        <f>HYPERLINK("http://quote.tse.or.jp/tse/quote.cgi?F=histidx/RealIndex&amp;QCODE=281","TOPIX-17 電力・ガス")</f>
        <v>TOPIX-17 電力・ガス</v>
      </c>
      <c r="I23" s="82"/>
    </row>
    <row r="24" spans="1:9" ht="13.5">
      <c r="A24" s="32" t="s">
        <v>45</v>
      </c>
      <c r="B24" s="12" t="b">
        <f t="shared" si="1"/>
        <v>1</v>
      </c>
      <c r="C24" s="16">
        <v>40255</v>
      </c>
      <c r="D24" s="29">
        <v>0.625</v>
      </c>
      <c r="E24" s="57">
        <v>101.81</v>
      </c>
      <c r="F24" s="12">
        <v>-0.7</v>
      </c>
      <c r="G24" s="30">
        <f t="shared" si="0"/>
        <v>-0.006828602087601209</v>
      </c>
      <c r="H24" s="43" t="str">
        <f>HYPERLINK("http://quote.tse.or.jp/tse/quote.cgi?F=histidx/RealIndex&amp;QCODE=282","TOPIX-17 運輸・物流")</f>
        <v>TOPIX-17 運輸・物流</v>
      </c>
      <c r="I24" s="82"/>
    </row>
    <row r="25" spans="1:9" ht="13.5">
      <c r="A25" s="32" t="s">
        <v>46</v>
      </c>
      <c r="B25" s="12" t="b">
        <f t="shared" si="1"/>
        <v>1</v>
      </c>
      <c r="C25" s="16">
        <v>40255</v>
      </c>
      <c r="D25" s="29">
        <v>0.625</v>
      </c>
      <c r="E25" s="57">
        <v>215.46</v>
      </c>
      <c r="F25" s="12">
        <v>-0.08</v>
      </c>
      <c r="G25" s="30">
        <f t="shared" si="0"/>
        <v>-0.0003711608054189477</v>
      </c>
      <c r="H25" s="43" t="str">
        <f>HYPERLINK("http://quote.tse.or.jp/tse/quote.cgi?F=histidx/RealIndex&amp;QCODE=283","TOPIX-17 商社・卸売")</f>
        <v>TOPIX-17 商社・卸売</v>
      </c>
      <c r="I25" s="82"/>
    </row>
    <row r="26" spans="1:9" ht="13.5">
      <c r="A26" s="32" t="s">
        <v>47</v>
      </c>
      <c r="B26" s="12" t="b">
        <f t="shared" si="1"/>
        <v>1</v>
      </c>
      <c r="C26" s="16">
        <v>40255</v>
      </c>
      <c r="D26" s="29">
        <v>0.625</v>
      </c>
      <c r="E26" s="57">
        <v>91.91</v>
      </c>
      <c r="F26" s="12">
        <v>-0.24</v>
      </c>
      <c r="G26" s="30">
        <f t="shared" si="0"/>
        <v>-0.0026044492674986435</v>
      </c>
      <c r="H26" s="43" t="str">
        <f>HYPERLINK("http://quote.tse.or.jp/tse/quote.cgi?F=histidx/RealIndex&amp;QCODE=284","TOPIX-17 小売")</f>
        <v>TOPIX-17 小売</v>
      </c>
      <c r="I26" s="82"/>
    </row>
    <row r="27" spans="1:9" ht="13.5">
      <c r="A27" s="32" t="s">
        <v>2020</v>
      </c>
      <c r="B27" s="12"/>
      <c r="C27" s="16">
        <f aca="true" t="shared" si="2" ref="C27:H27">C5</f>
        <v>40255</v>
      </c>
      <c r="D27" s="29">
        <f t="shared" si="2"/>
        <v>0.625</v>
      </c>
      <c r="E27" s="57">
        <f t="shared" si="2"/>
        <v>139.81</v>
      </c>
      <c r="F27" s="12">
        <f t="shared" si="2"/>
        <v>-1.19</v>
      </c>
      <c r="G27" s="30">
        <f t="shared" si="2"/>
        <v>-0.008439716312056738</v>
      </c>
      <c r="H27" s="31" t="str">
        <f t="shared" si="2"/>
        <v>銀行業</v>
      </c>
      <c r="I27" s="82"/>
    </row>
    <row r="28" spans="1:9" ht="13.5">
      <c r="A28" s="32" t="s">
        <v>48</v>
      </c>
      <c r="B28" s="12" t="b">
        <f>$B$13</f>
        <v>1</v>
      </c>
      <c r="C28" s="16">
        <v>40255</v>
      </c>
      <c r="D28" s="29">
        <v>0.625</v>
      </c>
      <c r="E28" s="57">
        <v>85.52</v>
      </c>
      <c r="F28" s="12">
        <v>-0.69</v>
      </c>
      <c r="G28" s="30">
        <f t="shared" si="0"/>
        <v>-0.00800371186637281</v>
      </c>
      <c r="H28" s="43" t="str">
        <f>HYPERLINK("http://quote.tse.or.jp/tse/quote.cgi?F=histidx/RealIndex&amp;QCODE=286","TOPIX-17 金融（除く銀行）")</f>
        <v>TOPIX-17 金融（除く銀行）</v>
      </c>
      <c r="I28" s="82"/>
    </row>
    <row r="29" spans="1:9" ht="13.5">
      <c r="A29" s="32" t="s">
        <v>49</v>
      </c>
      <c r="B29" s="12" t="b">
        <f t="shared" si="1"/>
        <v>1</v>
      </c>
      <c r="C29" s="16">
        <v>40255</v>
      </c>
      <c r="D29" s="29">
        <v>0.625</v>
      </c>
      <c r="E29" s="57">
        <v>171.3</v>
      </c>
      <c r="F29" s="12">
        <v>-4.56</v>
      </c>
      <c r="G29" s="30">
        <f t="shared" si="0"/>
        <v>-0.02592971682019788</v>
      </c>
      <c r="H29" s="43" t="str">
        <f>HYPERLINK("http://quote.tse.or.jp/tse/quote.cgi?F=histidx/RealIndex&amp;QCODE=287","TOPIX-17 不動産")</f>
        <v>TOPIX-17 不動産</v>
      </c>
      <c r="I29" s="82"/>
    </row>
    <row r="30" spans="1:10" ht="13.5">
      <c r="A30" s="11" t="s">
        <v>2027</v>
      </c>
      <c r="B30" s="12" t="b">
        <v>1</v>
      </c>
      <c r="C30" s="16">
        <v>40255</v>
      </c>
      <c r="D30" s="29">
        <v>0.625</v>
      </c>
      <c r="E30" s="57">
        <v>10744.03</v>
      </c>
      <c r="F30" s="40">
        <v>-102.95</v>
      </c>
      <c r="G30" s="30">
        <f t="shared" si="0"/>
        <v>-0.009491121030922893</v>
      </c>
      <c r="H30" s="43" t="str">
        <f>HYPERLINK("http://markets.nikkei.co.jp/kokunai/index.aspx","日経225")</f>
        <v>日経225</v>
      </c>
      <c r="I30" s="82"/>
      <c r="J30" s="125"/>
    </row>
    <row r="31" spans="1:9" ht="13.5">
      <c r="A31" s="11" t="s">
        <v>2035</v>
      </c>
      <c r="B31" s="12" t="b">
        <v>1</v>
      </c>
      <c r="C31" s="16">
        <v>40255</v>
      </c>
      <c r="D31" s="29">
        <v>0.625</v>
      </c>
      <c r="E31" s="57">
        <v>191.52</v>
      </c>
      <c r="F31" s="40">
        <v>-1.45</v>
      </c>
      <c r="G31" s="30">
        <f t="shared" si="0"/>
        <v>-0.007514121366015442</v>
      </c>
      <c r="H31" s="43" t="str">
        <f>HYPERLINK("http://markets.nikkei.co.jp/kokunai/nidxprice.aspx?INDEX=N300","日経300")</f>
        <v>日経300</v>
      </c>
      <c r="I31" s="82"/>
    </row>
    <row r="32" spans="1:9" ht="13.5">
      <c r="A32" s="11" t="s">
        <v>1626</v>
      </c>
      <c r="B32" s="12" t="b">
        <v>1</v>
      </c>
      <c r="C32" s="16">
        <v>40255</v>
      </c>
      <c r="D32" s="29">
        <v>0.6458333333357587</v>
      </c>
      <c r="E32" s="57">
        <v>1532030384</v>
      </c>
      <c r="F32" s="40">
        <v>-12563900</v>
      </c>
      <c r="G32" s="30">
        <f>(F32+I32)/(E32-F32)</f>
        <v>-0.008134110122085626</v>
      </c>
      <c r="H32" s="43" t="str">
        <f>HYPERLINK("http://quote.yahoo.co.jp/q?d=t&amp;s=1970+3402+3407+4004+4091+4188+5012+5019+5233+5333+5631+5714+5801+5802+6361+6370+6501+6502+6503+6645+6741+6752+6753+6758+6923+6971+6988+6991+7011+7012+7203+7211+7267+7912+9513+","FTSE Japan Green Chip30")</f>
        <v>FTSE Japan Green Chip30</v>
      </c>
      <c r="I32" s="82"/>
    </row>
    <row r="33" spans="1:9" ht="13.5">
      <c r="A33" s="11" t="s">
        <v>1625</v>
      </c>
      <c r="B33" s="12" t="b">
        <v>1</v>
      </c>
      <c r="C33" s="16">
        <v>40255</v>
      </c>
      <c r="D33" s="29">
        <v>0.6458333333357587</v>
      </c>
      <c r="E33" s="110">
        <v>1063251200</v>
      </c>
      <c r="F33" s="40">
        <v>-14462750</v>
      </c>
      <c r="G33" s="30">
        <f t="shared" si="0"/>
        <v>-0.013419841136880524</v>
      </c>
      <c r="H33" s="43" t="str">
        <f>HYPERLINK("http://quote.yahoo.co.jp/q?d=t&amp;s=1871+2503+3404+3864+4182+4188+4611+5001+5201+5632+5711+5804+6331+6443+6503+7011+7211+7451+7731+8058+8306+8593+8766+8802+9101+9301+","Ｓ＆Ｐ三菱系企業群")</f>
        <v>Ｓ＆Ｐ三菱系企業群</v>
      </c>
      <c r="I33" s="82"/>
    </row>
    <row r="34" spans="1:9" ht="13.5">
      <c r="A34" s="11" t="s">
        <v>232</v>
      </c>
      <c r="B34" s="67"/>
      <c r="C34" s="16" t="s">
        <v>776</v>
      </c>
      <c r="D34" s="16" t="s">
        <v>776</v>
      </c>
      <c r="E34" s="57">
        <v>0.0008955</v>
      </c>
      <c r="F34" s="12">
        <v>0</v>
      </c>
      <c r="G34" s="30"/>
      <c r="H34" s="43" t="str">
        <f>HYPERLINK("http://ca.finance.yahoo.com/q?s=XAU=X","XAU=X")</f>
        <v>XAU=X</v>
      </c>
      <c r="I34" s="82"/>
    </row>
    <row r="35" spans="1:9" ht="14.25" thickBot="1">
      <c r="A35" s="11" t="s">
        <v>1007</v>
      </c>
      <c r="B35" s="67"/>
      <c r="C35" s="16">
        <v>40239</v>
      </c>
      <c r="D35" s="177">
        <v>0.7826388888888891</v>
      </c>
      <c r="E35" s="57">
        <v>99325</v>
      </c>
      <c r="F35" s="12">
        <v>0</v>
      </c>
      <c r="G35" s="30"/>
      <c r="H35" s="43" t="str">
        <f>HYPERLINK("http://finance.yahoo.com/q?s=XAUJPY=X","XAU/JPY")</f>
        <v>XAU/JPY</v>
      </c>
      <c r="I35" s="82"/>
    </row>
    <row r="36" spans="1:9" ht="14.25" thickTop="1">
      <c r="A36" s="274" t="s">
        <v>1359</v>
      </c>
      <c r="B36" s="275" t="b">
        <v>1</v>
      </c>
      <c r="C36" s="276">
        <v>40255</v>
      </c>
      <c r="D36" s="277">
        <v>0.5027777777777778</v>
      </c>
      <c r="E36" s="278"/>
      <c r="F36" s="275"/>
      <c r="G36" s="279"/>
      <c r="H36" s="280" t="str">
        <f>HYPERLINK("http://www.kitco.com/market/","KITCO")</f>
        <v>KITCO</v>
      </c>
      <c r="I36" s="128"/>
    </row>
    <row r="37" spans="1:9" ht="13.5">
      <c r="A37" s="325" t="s">
        <v>1617</v>
      </c>
      <c r="B37" s="12" t="b">
        <f>$B$36</f>
        <v>1</v>
      </c>
      <c r="C37" s="16">
        <v>40255</v>
      </c>
      <c r="D37" s="177">
        <v>0.5027777777777778</v>
      </c>
      <c r="E37" s="57">
        <v>1123.9</v>
      </c>
      <c r="F37" s="12"/>
      <c r="G37" s="30">
        <f>IF(ISNUMBER(F37),(F37+I37)/(E37-F37),0)</f>
        <v>0</v>
      </c>
      <c r="H37" s="282" t="str">
        <f>HYPERLINK("http://www.kitco.com/market/","GOLD")</f>
        <v>GOLD</v>
      </c>
      <c r="I37" s="128"/>
    </row>
    <row r="38" spans="1:9" ht="13.5">
      <c r="A38" s="325" t="s">
        <v>1618</v>
      </c>
      <c r="B38" s="12" t="b">
        <f>$B$36</f>
        <v>1</v>
      </c>
      <c r="C38" s="16">
        <v>40255</v>
      </c>
      <c r="D38" s="177">
        <v>0.5027777777777778</v>
      </c>
      <c r="E38" s="57">
        <v>17.41</v>
      </c>
      <c r="F38" s="12"/>
      <c r="G38" s="30">
        <f>IF(ISNUMBER(F38),(F38+I38)/(E38-F38),0)</f>
        <v>0</v>
      </c>
      <c r="H38" s="282" t="str">
        <f>HYPERLINK("http://www.kitco.com/market/","SILVER")</f>
        <v>SILVER</v>
      </c>
      <c r="I38" s="128"/>
    </row>
    <row r="39" spans="1:9" ht="13.5">
      <c r="A39" s="325" t="s">
        <v>1619</v>
      </c>
      <c r="B39" s="12" t="b">
        <f>$B$36</f>
        <v>1</v>
      </c>
      <c r="C39" s="16">
        <v>40255</v>
      </c>
      <c r="D39" s="177">
        <v>0.5027777777777778</v>
      </c>
      <c r="E39" s="57">
        <v>1630</v>
      </c>
      <c r="F39" s="12"/>
      <c r="G39" s="30">
        <f>IF(ISNUMBER(F39),(F39+I39)/(E39-F39),0)</f>
        <v>0</v>
      </c>
      <c r="H39" s="282" t="str">
        <f>HYPERLINK("http://www.kitco.com/market/","PLATINUM")</f>
        <v>PLATINUM</v>
      </c>
      <c r="I39" s="128"/>
    </row>
    <row r="40" spans="1:9" ht="14.25" thickBot="1">
      <c r="A40" s="326" t="s">
        <v>1620</v>
      </c>
      <c r="B40" s="284" t="b">
        <f>$B$36</f>
        <v>1</v>
      </c>
      <c r="C40" s="285">
        <v>40255</v>
      </c>
      <c r="D40" s="286">
        <v>0.5013888888888889</v>
      </c>
      <c r="E40" s="287">
        <v>476.5</v>
      </c>
      <c r="F40" s="284"/>
      <c r="G40" s="288">
        <f>IF(ISNUMBER(F40),(F40+I40)/(E40-F40),0)</f>
        <v>0</v>
      </c>
      <c r="H40" s="289" t="str">
        <f>HYPERLINK("http://www.kitco.com/market/","PALLADIUM")</f>
        <v>PALLADIUM</v>
      </c>
      <c r="I40" s="128"/>
    </row>
    <row r="41" spans="1:9" ht="14.25" thickTop="1">
      <c r="A41" s="274" t="s">
        <v>1731</v>
      </c>
      <c r="B41" s="275" t="b">
        <v>1</v>
      </c>
      <c r="C41" s="276">
        <v>40255</v>
      </c>
      <c r="D41" s="277">
        <v>0.9756944444444445</v>
      </c>
      <c r="E41" s="278"/>
      <c r="F41" s="275"/>
      <c r="G41" s="278">
        <f>IF(AND(E41&gt;F41,MOD(E41,1)=1),"新甫",1)</f>
        <v>1</v>
      </c>
      <c r="H41" s="280" t="str">
        <f>HYPERLINK("http://www.tocom.or.jp/jp/souba/souba_sx/","TOCOM-Futures")</f>
        <v>TOCOM-Futures</v>
      </c>
      <c r="I41" s="128"/>
    </row>
    <row r="42" spans="1:9" ht="13.5">
      <c r="A42" s="281" t="str">
        <f>"TOCOM-金"&amp;YEAR('TOCOM-F'!I25)&amp;"年"&amp;MONTH('TOCOM-F'!I25)&amp;"月限"</f>
        <v>TOCOM-金2010年12月限</v>
      </c>
      <c r="B42" s="12"/>
      <c r="C42" s="16">
        <f>$C$41</f>
        <v>40255</v>
      </c>
      <c r="D42" s="177">
        <f>$D$41</f>
        <v>0.9756944444444445</v>
      </c>
      <c r="E42" s="239">
        <f>'TOCOM-F'!N25</f>
        <v>3264</v>
      </c>
      <c r="F42" s="239">
        <f>'TOCOM-F'!O25</f>
        <v>-28</v>
      </c>
      <c r="G42" s="30">
        <f>IF(ISNUMBER(F42),(F42+I42)/(E42-F42),0)</f>
        <v>-0.00850546780072904</v>
      </c>
      <c r="H42" s="282"/>
      <c r="I42" s="128"/>
    </row>
    <row r="43" spans="1:9" ht="13.5">
      <c r="A43" s="281" t="str">
        <f>"TOCOM-金"&amp;YEAR('TOCOM-F'!I26)&amp;"年"&amp;MONTH('TOCOM-F'!I26)&amp;"月限"</f>
        <v>TOCOM-金2011年2月限</v>
      </c>
      <c r="B43" s="12"/>
      <c r="C43" s="16">
        <f>$C$41</f>
        <v>40255</v>
      </c>
      <c r="D43" s="177">
        <f>$D$41</f>
        <v>0.9756944444444445</v>
      </c>
      <c r="E43" s="239">
        <f>'TOCOM-F'!N26</f>
        <v>3263</v>
      </c>
      <c r="F43" s="239">
        <f>'TOCOM-F'!O26</f>
        <v>-29</v>
      </c>
      <c r="G43" s="30">
        <f>IF(ISNUMBER(F43),(F43+I43)/(E43-F43),0)</f>
        <v>-0.008809234507897935</v>
      </c>
      <c r="H43" s="282"/>
      <c r="I43" s="128"/>
    </row>
    <row r="44" spans="1:9" ht="13.5">
      <c r="A44" s="281" t="s">
        <v>182</v>
      </c>
      <c r="B44" s="12"/>
      <c r="C44" s="57">
        <f>IF(MOD(MONTH($C$41),2),1-(MONTH($C$41)+MONTH('基準価額'!$D$160))*0,1-'基準価額'!$AA$28)</f>
        <v>1</v>
      </c>
      <c r="D44" s="177"/>
      <c r="E44" s="239">
        <f>IF($C44=0,E42,E43)</f>
        <v>3263</v>
      </c>
      <c r="F44" s="239">
        <f>IF($C44=0,F42,F43)</f>
        <v>-29</v>
      </c>
      <c r="G44" s="30">
        <f>IF($C44=0,G42,G43)</f>
        <v>-0.008809234507897935</v>
      </c>
      <c r="H44" s="282"/>
      <c r="I44" s="128"/>
    </row>
    <row r="45" spans="1:9" ht="13.5">
      <c r="A45" s="281" t="str">
        <f>"TOCOM-白金"&amp;YEAR('TOCOM-F'!I56)&amp;"年"&amp;MONTH('TOCOM-F'!I56)&amp;"月限"</f>
        <v>TOCOM-白金2010年12月限</v>
      </c>
      <c r="B45" s="12"/>
      <c r="C45" s="16">
        <f>$C$41</f>
        <v>40255</v>
      </c>
      <c r="D45" s="177">
        <f>$D$41</f>
        <v>0.9756944444444445</v>
      </c>
      <c r="E45" s="239">
        <f>'TOCOM-F'!N56</f>
        <v>4707</v>
      </c>
      <c r="F45" s="239">
        <f>'TOCOM-F'!O56</f>
        <v>-19</v>
      </c>
      <c r="G45" s="30">
        <f>IF(ISNUMBER(F45),(F45+I45)/(E45-F45),0)</f>
        <v>-0.004020313161235718</v>
      </c>
      <c r="H45" s="282"/>
      <c r="I45" s="128"/>
    </row>
    <row r="46" spans="1:9" ht="13.5">
      <c r="A46" s="281" t="str">
        <f>"TOCOM-白金"&amp;YEAR('TOCOM-F'!I57)&amp;"年"&amp;MONTH('TOCOM-F'!I57)&amp;"月限"</f>
        <v>TOCOM-白金2011年2月限</v>
      </c>
      <c r="B46" s="12"/>
      <c r="C46" s="16">
        <f>$C$41</f>
        <v>40255</v>
      </c>
      <c r="D46" s="177">
        <f>$D$41</f>
        <v>0.9756944444444445</v>
      </c>
      <c r="E46" s="239">
        <f>'TOCOM-F'!N57</f>
        <v>4701</v>
      </c>
      <c r="F46" s="239">
        <f>'TOCOM-F'!O57</f>
        <v>-19</v>
      </c>
      <c r="G46" s="30">
        <f>IF(ISNUMBER(F46),(F46+I46)/(E46-F46),0)</f>
        <v>-0.004025423728813559</v>
      </c>
      <c r="H46" s="282"/>
      <c r="I46" s="128"/>
    </row>
    <row r="47" spans="1:9" ht="14.25" thickBot="1">
      <c r="A47" s="283" t="s">
        <v>181</v>
      </c>
      <c r="B47" s="284"/>
      <c r="C47" s="285">
        <f>$C$41</f>
        <v>40255</v>
      </c>
      <c r="D47" s="286">
        <f>$D$41</f>
        <v>0.9756944444444445</v>
      </c>
      <c r="E47" s="290">
        <f>IF('基準価額'!AA28=1,0,E46)*(1-'基準価額'!AA28)+E45*'基準価額'!AA28</f>
        <v>4701</v>
      </c>
      <c r="F47" s="290">
        <f>IF('基準価額'!AA28=1,0,F46)*(1-'基準価額'!AA28)+F45*'基準価額'!AA28</f>
        <v>-19</v>
      </c>
      <c r="G47" s="288">
        <f>IF(ISNUMBER(F47),(F47+I47)/(E47-F47),0)</f>
        <v>-0.004025423728813559</v>
      </c>
      <c r="H47" s="295" t="str">
        <f>'基準価額'!AA28&amp;":"&amp;MONTH('TOCOM-F'!I56)&amp;"月限="&amp;'基準価額'!AA28&amp;", "&amp;MONTH('TOCOM-F'!I57)&amp;"月限="&amp;1-'基準価額'!AA28</f>
        <v>0:12月限=0, 2月限=1</v>
      </c>
      <c r="I47" s="128"/>
    </row>
    <row r="48" spans="1:9" ht="15" thickBot="1" thickTop="1">
      <c r="A48" s="11" t="s">
        <v>1917</v>
      </c>
      <c r="B48" s="12" t="b">
        <v>1</v>
      </c>
      <c r="C48" s="16">
        <v>40256</v>
      </c>
      <c r="D48" s="177">
        <v>0.034722222222222224</v>
      </c>
      <c r="E48" s="57">
        <v>43.16</v>
      </c>
      <c r="F48" s="12">
        <v>-0.04</v>
      </c>
      <c r="G48" s="30">
        <f aca="true" t="shared" si="3" ref="G48:G57">(F48+I48)/(E48-F48)</f>
        <v>-0.0009259259259259261</v>
      </c>
      <c r="H48" s="43" t="str">
        <f>HYPERLINK("http://www.bloomberg.com/apps/quote?T=jpquote.wm&amp;ticker=GSCIUSD:SW","GSCIUSD:SW  ｲｰｼﾞｰETF S&amp;P GSCI商品指数ｷｬｯ ")</f>
        <v>GSCIUSD:SW  ｲｰｼﾞｰETF S&amp;P GSCI商品指数ｷｬｯ </v>
      </c>
      <c r="I48" s="82"/>
    </row>
    <row r="49" spans="1:9" ht="14.25" thickTop="1">
      <c r="A49" s="274" t="s">
        <v>1246</v>
      </c>
      <c r="B49" s="291"/>
      <c r="C49" s="276"/>
      <c r="D49" s="277"/>
      <c r="E49" s="278"/>
      <c r="F49" s="275"/>
      <c r="G49" s="279"/>
      <c r="H49" s="280" t="str">
        <f>HYPERLINK("http://www.bloomberg.co.jp/markets/stocks/wei_region3.html","アジア太平洋株式bloomberg")</f>
        <v>アジア太平洋株式bloomberg</v>
      </c>
      <c r="I49" s="128"/>
    </row>
    <row r="50" spans="1:10" ht="13.5">
      <c r="A50" s="281" t="s">
        <v>2029</v>
      </c>
      <c r="B50" s="67" t="b">
        <v>1</v>
      </c>
      <c r="C50" s="16">
        <v>40256</v>
      </c>
      <c r="D50" s="177">
        <v>0.6770833333333334</v>
      </c>
      <c r="E50" s="57">
        <v>2294.95</v>
      </c>
      <c r="F50" s="12">
        <v>-12.136</v>
      </c>
      <c r="G50" s="30">
        <f>(F50+I50)/(E50-F50)</f>
        <v>-0.005260315393531061</v>
      </c>
      <c r="H50" s="282" t="str">
        <f>HYPERLINK("http://www.bloomberg.com/apps/quote?T=jpquote.wm&amp;ticker=SSE50:IND","SSE50:IND  中国 上海50指数 ")</f>
        <v>SSE50:IND  中国 上海50指数 </v>
      </c>
      <c r="I50" s="128"/>
      <c r="J50">
        <v>15</v>
      </c>
    </row>
    <row r="51" spans="1:10" ht="13.5">
      <c r="A51" s="281" t="s">
        <v>2030</v>
      </c>
      <c r="B51" s="67" t="b">
        <f>B50</f>
        <v>1</v>
      </c>
      <c r="C51" s="16">
        <v>40256</v>
      </c>
      <c r="D51" s="177">
        <v>0.6673611111111111</v>
      </c>
      <c r="E51" s="57">
        <v>3267.56</v>
      </c>
      <c r="F51" s="12">
        <v>-6.361</v>
      </c>
      <c r="G51" s="30">
        <f t="shared" si="3"/>
        <v>-0.00194293020509658</v>
      </c>
      <c r="H51" s="282" t="str">
        <f>HYPERLINK("http://www.bloomberg.com/apps/quote?T=jpquote.wm&amp;ticker=SHSZ300:IND","SHSZ300:IND  上海/ｼﾝｾﾝ CSI300指数 ")</f>
        <v>SHSZ300:IND  上海/ｼﾝｾﾝ CSI300指数 </v>
      </c>
      <c r="I51" s="128"/>
      <c r="J51">
        <v>15</v>
      </c>
    </row>
    <row r="52" spans="1:10" ht="13.5">
      <c r="A52" s="281" t="s">
        <v>2031</v>
      </c>
      <c r="B52" s="67" t="b">
        <v>1</v>
      </c>
      <c r="C52" s="16">
        <v>40256</v>
      </c>
      <c r="D52" s="177">
        <v>0.7520833333333333</v>
      </c>
      <c r="E52" s="102">
        <v>219.02</v>
      </c>
      <c r="F52" s="12">
        <v>-1.26</v>
      </c>
      <c r="G52" s="30">
        <f>(F52+I52)/(E52-F52)</f>
        <v>-0.00571999273651716</v>
      </c>
      <c r="H52" s="282" t="str">
        <f>HYPERLINK("http://www.bloomberg.com/apps/quote?T=jpquote.wm&amp;ticker=KOSPI2:IND","KOSPI2:IND  韓国200種株価指数 ")</f>
        <v>KOSPI2:IND  韓国200種株価指数 </v>
      </c>
      <c r="I52" s="128"/>
      <c r="J52">
        <v>20</v>
      </c>
    </row>
    <row r="53" spans="1:10" ht="14.25" thickBot="1">
      <c r="A53" s="283" t="s">
        <v>846</v>
      </c>
      <c r="B53" s="292" t="b">
        <v>1</v>
      </c>
      <c r="C53" s="285">
        <v>40256</v>
      </c>
      <c r="D53" s="286">
        <v>0.6152777777777778</v>
      </c>
      <c r="E53" s="293">
        <v>7886.34</v>
      </c>
      <c r="F53" s="284">
        <v>38.5</v>
      </c>
      <c r="G53" s="288">
        <f t="shared" si="3"/>
        <v>0.004905808477237049</v>
      </c>
      <c r="H53" s="289" t="str">
        <f>HYPERLINK("http://www.bloomberg.com/apps/quote?T=jpquote.wm&amp;ticker=TWSE:IND","TWSE:IND  加権指数 ")</f>
        <v>TWSE:IND  加権指数 </v>
      </c>
      <c r="I53" s="128"/>
      <c r="J53">
        <v>0</v>
      </c>
    </row>
    <row r="54" spans="1:9" ht="14.25" thickTop="1">
      <c r="A54" s="11" t="s">
        <v>347</v>
      </c>
      <c r="B54" s="12" t="b">
        <v>1</v>
      </c>
      <c r="C54" s="16">
        <v>40256</v>
      </c>
      <c r="D54" s="177">
        <v>0.03125</v>
      </c>
      <c r="E54" s="57">
        <v>1558.8</v>
      </c>
      <c r="F54" s="12">
        <v>-4.66</v>
      </c>
      <c r="G54" s="30">
        <f t="shared" si="3"/>
        <v>-0.0029805687385670247</v>
      </c>
      <c r="H54" s="43" t="str">
        <f>HYPERLINK("http://www.bloomberg.com/apps/quote?T=jpquote.wm&amp;ticker=RTSI$:IND","RTSI$:IND  ﾛｼｱ RTS指数 $ ")</f>
        <v>RTSI$:IND  ﾛｼｱ RTS指数 $ </v>
      </c>
      <c r="I54" s="82"/>
    </row>
    <row r="55" spans="1:9" ht="13.5">
      <c r="A55" s="11" t="s">
        <v>1012</v>
      </c>
      <c r="B55" s="12" t="b">
        <v>0</v>
      </c>
      <c r="C55" s="16"/>
      <c r="D55" s="177"/>
      <c r="E55" s="57"/>
      <c r="F55" s="12"/>
      <c r="G55" s="30"/>
      <c r="H55" s="43">
        <f>HYPERLINK("","")</f>
      </c>
      <c r="I55" s="82"/>
    </row>
    <row r="56" spans="1:9" ht="13.5">
      <c r="A56" s="11" t="s">
        <v>348</v>
      </c>
      <c r="B56" s="12" t="b">
        <v>1</v>
      </c>
      <c r="C56" s="16">
        <v>40256</v>
      </c>
      <c r="D56" s="177">
        <v>0</v>
      </c>
      <c r="E56" s="57">
        <v>25887.14</v>
      </c>
      <c r="F56" s="12">
        <v>271.43</v>
      </c>
      <c r="G56" s="30">
        <f t="shared" si="3"/>
        <v>0.01059623176558448</v>
      </c>
      <c r="H56" s="43" t="str">
        <f>HYPERLINK("http://www.bloomberg.com/apps/quote?T=jpquote.wm&amp;ticker=TOP40:IND","TOP40:IND  FTSE/JSE ｱﾌﾘｶ ﾄｯﾌﾟ40指数 ")</f>
        <v>TOP40:IND  FTSE/JSE ｱﾌﾘｶ ﾄｯﾌﾟ40指数 </v>
      </c>
      <c r="I56" s="82"/>
    </row>
    <row r="57" spans="1:9" ht="13.5">
      <c r="A57" s="11" t="s">
        <v>349</v>
      </c>
      <c r="B57" s="12" t="b">
        <v>1</v>
      </c>
      <c r="C57" s="16">
        <v>40256</v>
      </c>
      <c r="D57" s="177">
        <v>0.04513888888888889</v>
      </c>
      <c r="E57" s="57">
        <v>68976.63</v>
      </c>
      <c r="F57" s="12">
        <v>-746.61</v>
      </c>
      <c r="G57" s="30">
        <f t="shared" si="3"/>
        <v>-0.010708194283570298</v>
      </c>
      <c r="H57" s="43" t="str">
        <f>HYPERLINK("http://www.bloomberg.com/apps/quote?T=jpquote.wm&amp;ticker=IBOV:IND","IBOV:IND  ﾌﾞﾗｼﾞﾙ ﾎﾞﾍﾞｽﾊﾟ指数 ")</f>
        <v>IBOV:IND  ﾌﾞﾗｼﾞﾙ ﾎﾞﾍﾞｽﾊﾟ指数 </v>
      </c>
      <c r="I57" s="82"/>
    </row>
    <row r="58" spans="1:9" ht="13.5">
      <c r="A58" s="11" t="s">
        <v>2022</v>
      </c>
      <c r="B58" s="12" t="b">
        <v>1</v>
      </c>
      <c r="C58" s="16">
        <v>40255</v>
      </c>
      <c r="D58" s="296">
        <v>0.6180208333333334</v>
      </c>
      <c r="E58" s="102">
        <v>22351.83</v>
      </c>
      <c r="F58" s="22"/>
      <c r="G58" s="23"/>
      <c r="H58" s="43" t="str">
        <f>HYPERLINK("http://www.kodex.com/engProduct.do?fundId=2ETF01&amp;pageCode=010101","KODEX200")</f>
        <v>KODEX200</v>
      </c>
      <c r="I58" s="82"/>
    </row>
    <row r="59" spans="1:9" ht="13.5">
      <c r="A59" s="11" t="s">
        <v>1627</v>
      </c>
      <c r="B59" s="67" t="b">
        <v>1</v>
      </c>
      <c r="C59" s="16">
        <v>40256</v>
      </c>
      <c r="D59" s="177">
        <v>0.7090277777777777</v>
      </c>
      <c r="E59" s="102">
        <v>116.65</v>
      </c>
      <c r="F59" s="12">
        <v>-0.15</v>
      </c>
      <c r="G59" s="30">
        <f>(F59+I59)/(E59-F59)</f>
        <v>-0.0012842465753424657</v>
      </c>
      <c r="H59" s="43" t="str">
        <f>HYPERLINK("http://www.bloomberg.com/apps/quote?T=jpquote.wm&amp;ticker=2821:HK","2821:HK  アジア国債・公債ETF ")</f>
        <v>2821:HK  アジア国債・公債ETF </v>
      </c>
      <c r="I59" s="82"/>
    </row>
    <row r="60" spans="1:9" ht="13.5">
      <c r="A60" s="11" t="s">
        <v>706</v>
      </c>
      <c r="B60" s="67" t="b">
        <v>1</v>
      </c>
      <c r="C60" s="16">
        <v>0</v>
      </c>
      <c r="D60" s="177">
        <v>0</v>
      </c>
      <c r="E60" s="102">
        <v>0</v>
      </c>
      <c r="F60" s="12">
        <v>0</v>
      </c>
      <c r="G60" s="30">
        <f>G105</f>
        <v>0.00022127565414615255</v>
      </c>
      <c r="H60" s="43" t="str">
        <f>HYPERLINK("0","0")</f>
        <v>0</v>
      </c>
      <c r="I60" s="82"/>
    </row>
    <row r="61" spans="1:9" ht="13.5">
      <c r="A61" s="11" t="s">
        <v>1366</v>
      </c>
      <c r="B61" s="67" t="b">
        <v>1</v>
      </c>
      <c r="C61" s="16">
        <v>40256</v>
      </c>
      <c r="D61" s="177">
        <v>0.8319444444444444</v>
      </c>
      <c r="E61" s="102">
        <v>5245.9</v>
      </c>
      <c r="F61" s="12">
        <v>14</v>
      </c>
      <c r="G61" s="30">
        <f>(F61+I61)/(E61-F61)</f>
        <v>0.0026758921233204</v>
      </c>
      <c r="H61" s="43" t="str">
        <f>HYPERLINK("http://www.bloomberg.com/apps/quote?T=jpquote.wm&amp;ticker=NIFTY:IND","NIFTY:IND  ｲﾝﾄﾞ NIFTY指数 ")</f>
        <v>NIFTY:IND  ｲﾝﾄﾞ NIFTY指数 </v>
      </c>
      <c r="I61" s="82"/>
    </row>
    <row r="62" spans="1:9" ht="14.25" thickBot="1">
      <c r="A62" s="11" t="s">
        <v>1083</v>
      </c>
      <c r="B62" s="67"/>
      <c r="C62" s="16"/>
      <c r="D62" s="177">
        <f>D64</f>
        <v>0.03194444444444445</v>
      </c>
      <c r="E62" s="102">
        <f>E64+'基準価額'!H175</f>
        <v>10675.519121457684</v>
      </c>
      <c r="F62" s="12"/>
      <c r="G62" s="30"/>
      <c r="H62" s="43"/>
      <c r="I62" s="82"/>
    </row>
    <row r="63" spans="1:9" ht="15" thickTop="1">
      <c r="A63" s="327" t="s">
        <v>1056</v>
      </c>
      <c r="B63" s="275" t="b">
        <f>OR(B64:B69)</f>
        <v>1</v>
      </c>
      <c r="C63" s="276">
        <v>40256</v>
      </c>
      <c r="D63" s="277">
        <v>0.04027777777777778</v>
      </c>
      <c r="E63" s="294"/>
      <c r="F63" s="275"/>
      <c r="G63" s="279"/>
      <c r="H63" s="280" t="str">
        <f>HYPERLINK("http://www.bloomberg.com/markets/stocks/futures.html","世界株式先物@Bloomberg")</f>
        <v>世界株式先物@Bloomberg</v>
      </c>
      <c r="I63" s="128"/>
    </row>
    <row r="64" spans="1:9" ht="14.25">
      <c r="A64" s="324" t="s">
        <v>1060</v>
      </c>
      <c r="B64" s="12" t="b">
        <v>1</v>
      </c>
      <c r="C64" s="16">
        <v>40256</v>
      </c>
      <c r="D64" s="177">
        <v>0.03194444444444445</v>
      </c>
      <c r="E64" s="102">
        <v>10675</v>
      </c>
      <c r="F64" s="12">
        <v>12</v>
      </c>
      <c r="G64" s="30">
        <f aca="true" t="shared" si="4" ref="G64:G69">(F64+I64)/(E64-F64)</f>
        <v>0.0011253868517302824</v>
      </c>
      <c r="H64" s="282"/>
      <c r="I64" s="128"/>
    </row>
    <row r="65" spans="1:9" ht="14.25">
      <c r="A65" s="324" t="s">
        <v>1061</v>
      </c>
      <c r="B65" s="67" t="b">
        <v>1</v>
      </c>
      <c r="C65" s="16">
        <v>40256</v>
      </c>
      <c r="D65" s="177">
        <v>0.03263888888888889</v>
      </c>
      <c r="E65" s="102">
        <v>1157.7</v>
      </c>
      <c r="F65" s="12">
        <v>-3.3</v>
      </c>
      <c r="G65" s="30">
        <f t="shared" si="4"/>
        <v>-0.002842377260981912</v>
      </c>
      <c r="H65" s="282"/>
      <c r="I65" s="128"/>
    </row>
    <row r="66" spans="1:9" ht="14.25">
      <c r="A66" s="324" t="s">
        <v>1062</v>
      </c>
      <c r="B66" s="12" t="b">
        <v>1</v>
      </c>
      <c r="C66" s="16">
        <v>40256</v>
      </c>
      <c r="D66" s="177">
        <v>0.025</v>
      </c>
      <c r="E66" s="102">
        <v>706.8</v>
      </c>
      <c r="F66" s="12">
        <v>-2</v>
      </c>
      <c r="G66" s="30">
        <f t="shared" si="4"/>
        <v>-0.0028216704288939053</v>
      </c>
      <c r="H66" s="282"/>
      <c r="I66" s="128"/>
    </row>
    <row r="67" spans="1:9" ht="14.25">
      <c r="A67" s="324" t="s">
        <v>1063</v>
      </c>
      <c r="B67" s="12" t="b">
        <v>1</v>
      </c>
      <c r="C67" s="16">
        <v>40256</v>
      </c>
      <c r="D67" s="177">
        <v>0.02847222222222222</v>
      </c>
      <c r="E67" s="102">
        <v>2912</v>
      </c>
      <c r="F67" s="12">
        <v>-18</v>
      </c>
      <c r="G67" s="30">
        <f t="shared" si="4"/>
        <v>-0.0061433447098976105</v>
      </c>
      <c r="H67" s="282"/>
      <c r="I67" s="128"/>
    </row>
    <row r="68" spans="1:9" ht="13.5">
      <c r="A68" s="325" t="s">
        <v>1064</v>
      </c>
      <c r="B68" s="12" t="b">
        <v>1</v>
      </c>
      <c r="C68" s="16">
        <v>40255</v>
      </c>
      <c r="D68" s="177">
        <v>0.71875</v>
      </c>
      <c r="E68" s="102">
        <v>21287</v>
      </c>
      <c r="F68" s="12">
        <v>-112</v>
      </c>
      <c r="G68" s="30">
        <f t="shared" si="4"/>
        <v>-0.005233889434085705</v>
      </c>
      <c r="H68" s="282"/>
      <c r="I68" s="128"/>
    </row>
    <row r="69" spans="1:9" ht="14.25" thickBot="1">
      <c r="A69" s="326" t="s">
        <v>1065</v>
      </c>
      <c r="B69" s="292" t="b">
        <v>1</v>
      </c>
      <c r="C69" s="285">
        <v>40256</v>
      </c>
      <c r="D69" s="286">
        <v>0.03194444444444445</v>
      </c>
      <c r="E69" s="293">
        <v>4884</v>
      </c>
      <c r="F69" s="284">
        <v>5</v>
      </c>
      <c r="G69" s="288">
        <f t="shared" si="4"/>
        <v>0.0010248001639680262</v>
      </c>
      <c r="H69" s="354" t="s">
        <v>1286</v>
      </c>
      <c r="I69" s="128"/>
    </row>
    <row r="70" spans="1:9" ht="15" thickTop="1">
      <c r="A70" s="327" t="s">
        <v>1058</v>
      </c>
      <c r="B70" s="275" t="b">
        <f>OR(B71:B71)</f>
        <v>1</v>
      </c>
      <c r="C70" s="276">
        <v>40256</v>
      </c>
      <c r="D70" s="277">
        <v>0.03680555555555556</v>
      </c>
      <c r="E70" s="294"/>
      <c r="F70" s="275"/>
      <c r="G70" s="279"/>
      <c r="H70" s="280" t="str">
        <f>HYPERLINK("http://www.bloomberg.com/markets/stocks/wei_region2.html","欧州アフリカ株式指数@Bloomberg")</f>
        <v>欧州アフリカ株式指数@Bloomberg</v>
      </c>
      <c r="I70" s="128"/>
    </row>
    <row r="71" spans="1:9" ht="15" thickBot="1">
      <c r="A71" s="329" t="s">
        <v>1059</v>
      </c>
      <c r="B71" s="284" t="b">
        <f>B67</f>
        <v>1</v>
      </c>
      <c r="C71" s="285">
        <v>40256</v>
      </c>
      <c r="D71" s="286">
        <v>0.02638888888888889</v>
      </c>
      <c r="E71" s="330">
        <v>261.39</v>
      </c>
      <c r="F71" s="328">
        <v>0.05</v>
      </c>
      <c r="G71" s="288">
        <f>$G$67</f>
        <v>-0.0061433447098976105</v>
      </c>
      <c r="H71" s="289"/>
      <c r="I71" s="128"/>
    </row>
    <row r="72" spans="1:9" ht="14.25" thickTop="1">
      <c r="A72" s="333" t="s">
        <v>131</v>
      </c>
      <c r="B72" s="275"/>
      <c r="C72" s="276">
        <v>40255</v>
      </c>
      <c r="D72" s="277">
        <v>0.75625</v>
      </c>
      <c r="E72" s="294"/>
      <c r="F72" s="275"/>
      <c r="G72" s="279"/>
      <c r="H72" s="280" t="str">
        <f>HYPERLINK("http://www.bloomberg.com/markets/commodities/energyprices.html","エネルギー価格@Bloomberg")</f>
        <v>エネルギー価格@Bloomberg</v>
      </c>
      <c r="I72" s="128"/>
    </row>
    <row r="73" spans="1:9" ht="15" thickBot="1">
      <c r="A73" s="324" t="s">
        <v>1820</v>
      </c>
      <c r="B73" s="12"/>
      <c r="C73" s="16">
        <v>40255</v>
      </c>
      <c r="D73" s="177">
        <v>0.7465277777777778</v>
      </c>
      <c r="E73" s="331">
        <v>4.27</v>
      </c>
      <c r="F73" s="332">
        <v>-0.04</v>
      </c>
      <c r="G73" s="30">
        <f>(F73+I73)/(E73-F73)</f>
        <v>-0.009280742459396753</v>
      </c>
      <c r="H73" s="282"/>
      <c r="I73" s="128"/>
    </row>
    <row r="74" spans="1:9" ht="14.25" thickTop="1">
      <c r="A74" s="333" t="s">
        <v>132</v>
      </c>
      <c r="B74" s="275" t="b">
        <f>OR(B75:B90)</f>
        <v>1</v>
      </c>
      <c r="C74" s="276">
        <v>40256</v>
      </c>
      <c r="D74" s="277">
        <v>0.03819444444444444</v>
      </c>
      <c r="E74" s="294"/>
      <c r="F74" s="275"/>
      <c r="G74" s="279"/>
      <c r="H74" s="280" t="str">
        <f>HYPERLINK("http://www.bloomberg.com/markets/commodities/cfutures.html","エネルギー価格先物@Bloomberg")</f>
        <v>エネルギー価格先物@Bloomberg</v>
      </c>
      <c r="I74" s="128"/>
    </row>
    <row r="75" spans="1:9" ht="14.25">
      <c r="A75" s="324" t="s">
        <v>133</v>
      </c>
      <c r="B75" s="12"/>
      <c r="C75" s="16">
        <v>40241</v>
      </c>
      <c r="D75" s="177">
        <v>0.25</v>
      </c>
      <c r="E75" s="331">
        <v>519.73</v>
      </c>
      <c r="F75" s="332">
        <v>-5.72</v>
      </c>
      <c r="G75" s="30">
        <f>(F75+I75)/(E75-F75)</f>
        <v>-0.010885907317537347</v>
      </c>
      <c r="H75" s="282"/>
      <c r="I75" s="128"/>
    </row>
    <row r="76" spans="1:9" ht="14.25">
      <c r="A76" s="324" t="s">
        <v>336</v>
      </c>
      <c r="B76" s="12" t="b">
        <f>$B$89</f>
        <v>1</v>
      </c>
      <c r="C76" s="16">
        <v>40256</v>
      </c>
      <c r="D76" s="177">
        <v>0.030555555555555555</v>
      </c>
      <c r="E76" s="331">
        <v>4.094</v>
      </c>
      <c r="F76" s="332">
        <v>-0.209</v>
      </c>
      <c r="G76" s="30">
        <f>(F76+I76)/(E76-F76)</f>
        <v>-0.048570764582849174</v>
      </c>
      <c r="H76" s="282"/>
      <c r="I76" s="128"/>
    </row>
    <row r="77" spans="1:9" ht="14.25">
      <c r="A77" s="324" t="s">
        <v>335</v>
      </c>
      <c r="B77" s="12" t="b">
        <v>1</v>
      </c>
      <c r="C77" s="16">
        <v>40256</v>
      </c>
      <c r="D77" s="177">
        <v>0.030555555555555555</v>
      </c>
      <c r="E77" s="331">
        <v>81.94</v>
      </c>
      <c r="F77" s="332">
        <v>-0.99</v>
      </c>
      <c r="G77" s="30">
        <f>(F77+I77)/(E77-F77)</f>
        <v>-0.01193777884963222</v>
      </c>
      <c r="H77" s="282"/>
      <c r="I77" s="128"/>
    </row>
    <row r="78" spans="1:9" ht="14.25">
      <c r="A78" s="324" t="s">
        <v>1821</v>
      </c>
      <c r="B78" s="12" t="b">
        <f>$B$89</f>
        <v>1</v>
      </c>
      <c r="C78" s="16">
        <v>40256</v>
      </c>
      <c r="D78" s="177">
        <v>0.030555555555555555</v>
      </c>
      <c r="E78" s="331">
        <v>228.5</v>
      </c>
      <c r="F78" s="332">
        <v>-2.47</v>
      </c>
      <c r="G78" s="30">
        <f>(F78+I78)/(E78-F78)</f>
        <v>-0.010694029527644283</v>
      </c>
      <c r="H78" s="282"/>
      <c r="I78" s="128"/>
    </row>
    <row r="79" spans="1:9" ht="14.25">
      <c r="A79" s="324" t="s">
        <v>693</v>
      </c>
      <c r="B79" s="12" t="b">
        <f>$B$89</f>
        <v>1</v>
      </c>
      <c r="C79" s="16">
        <v>40256</v>
      </c>
      <c r="D79" s="177">
        <v>0.029861111111111113</v>
      </c>
      <c r="E79" s="331">
        <v>211.05</v>
      </c>
      <c r="F79" s="332">
        <v>-2.9</v>
      </c>
      <c r="G79" s="30">
        <f>(F79+I79)/(E79-F79)</f>
        <v>-0.013554568824491702</v>
      </c>
      <c r="H79" s="282"/>
      <c r="I79" s="128"/>
    </row>
    <row r="80" spans="1:9" ht="13.5">
      <c r="A80" s="368" t="s">
        <v>334</v>
      </c>
      <c r="B80" s="12"/>
      <c r="C80" s="16"/>
      <c r="D80" s="177"/>
      <c r="E80" s="331"/>
      <c r="F80" s="332"/>
      <c r="G80" s="30"/>
      <c r="H80" s="282"/>
      <c r="I80" s="128"/>
    </row>
    <row r="81" spans="1:9" ht="14.25">
      <c r="A81" s="324" t="s">
        <v>134</v>
      </c>
      <c r="B81" s="12" t="b">
        <f>$B$89</f>
        <v>1</v>
      </c>
      <c r="C81" s="16">
        <v>40256</v>
      </c>
      <c r="D81" s="177">
        <v>0.030555555555555555</v>
      </c>
      <c r="E81" s="331">
        <v>338.3</v>
      </c>
      <c r="F81" s="332">
        <v>-3.5</v>
      </c>
      <c r="G81" s="30">
        <f>(F81+I81)/(E81-F81)</f>
        <v>-0.01023990637799883</v>
      </c>
      <c r="H81" s="282"/>
      <c r="I81" s="128"/>
    </row>
    <row r="82" spans="1:9" ht="13.5">
      <c r="A82" s="368" t="s">
        <v>690</v>
      </c>
      <c r="B82" s="12"/>
      <c r="C82" s="16"/>
      <c r="D82" s="177"/>
      <c r="E82" s="331"/>
      <c r="F82" s="332"/>
      <c r="G82" s="30"/>
      <c r="H82" s="282"/>
      <c r="I82" s="128"/>
    </row>
    <row r="83" spans="1:9" ht="13.5">
      <c r="A83" s="368" t="s">
        <v>333</v>
      </c>
      <c r="B83" s="12"/>
      <c r="C83" s="16"/>
      <c r="D83" s="177"/>
      <c r="E83" s="331"/>
      <c r="F83" s="332"/>
      <c r="G83" s="30"/>
      <c r="H83" s="282"/>
      <c r="I83" s="128"/>
    </row>
    <row r="84" spans="1:9" ht="14.25">
      <c r="A84" s="324" t="s">
        <v>1846</v>
      </c>
      <c r="B84" s="12" t="b">
        <f>$B$89</f>
        <v>1</v>
      </c>
      <c r="C84" s="16">
        <v>40256</v>
      </c>
      <c r="D84" s="177">
        <v>0.03125</v>
      </c>
      <c r="E84" s="331">
        <v>1119.5</v>
      </c>
      <c r="F84" s="332">
        <v>-4.7</v>
      </c>
      <c r="G84" s="30">
        <f>(F84+I84)/(E84-F84)</f>
        <v>-0.0041807507560932215</v>
      </c>
      <c r="H84" s="282"/>
      <c r="I84" s="128"/>
    </row>
    <row r="85" spans="1:9" ht="14.25">
      <c r="A85" s="324" t="s">
        <v>1847</v>
      </c>
      <c r="B85" s="12" t="b">
        <f>$B$89</f>
        <v>1</v>
      </c>
      <c r="C85" s="16">
        <v>40256</v>
      </c>
      <c r="D85" s="177">
        <v>0.030555555555555555</v>
      </c>
      <c r="E85" s="331">
        <v>17.39</v>
      </c>
      <c r="F85" s="332">
        <v>-0.133</v>
      </c>
      <c r="G85" s="30">
        <f>(F85+I85)/(E85-F85)</f>
        <v>-0.007590024539177082</v>
      </c>
      <c r="H85" s="282"/>
      <c r="I85" s="128"/>
    </row>
    <row r="86" spans="1:9" ht="14.25">
      <c r="A86" s="324" t="s">
        <v>1848</v>
      </c>
      <c r="B86" s="12" t="b">
        <f>$B$89</f>
        <v>1</v>
      </c>
      <c r="C86" s="16">
        <v>40256</v>
      </c>
      <c r="D86" s="177">
        <v>0.030555555555555555</v>
      </c>
      <c r="E86" s="331">
        <v>95.15</v>
      </c>
      <c r="F86" s="332">
        <v>1.175</v>
      </c>
      <c r="G86" s="30">
        <f>(F86+I86)/(E86-F86)</f>
        <v>0.012503325352487363</v>
      </c>
      <c r="H86" s="282"/>
      <c r="I86" s="128"/>
    </row>
    <row r="87" spans="1:9" ht="14.25">
      <c r="A87" s="324" t="s">
        <v>1849</v>
      </c>
      <c r="B87" s="12" t="b">
        <f>$B$89</f>
        <v>1</v>
      </c>
      <c r="C87" s="16">
        <v>40256</v>
      </c>
      <c r="D87" s="177">
        <v>0.030555555555555555</v>
      </c>
      <c r="E87" s="331">
        <v>82.5</v>
      </c>
      <c r="F87" s="332">
        <v>1.475</v>
      </c>
      <c r="G87" s="30">
        <f>(F87+I87)/(E87-F87)</f>
        <v>0.01820425794507868</v>
      </c>
      <c r="H87" s="282"/>
      <c r="I87" s="128"/>
    </row>
    <row r="88" spans="1:9" ht="14.25">
      <c r="A88" s="324" t="s">
        <v>1818</v>
      </c>
      <c r="B88" s="12" t="b">
        <f>$B$89</f>
        <v>1</v>
      </c>
      <c r="C88" s="16">
        <v>40256</v>
      </c>
      <c r="D88" s="177">
        <v>0.03125</v>
      </c>
      <c r="E88" s="331">
        <v>486.5</v>
      </c>
      <c r="F88" s="332">
        <v>-9.5</v>
      </c>
      <c r="G88" s="30">
        <f aca="true" t="shared" si="5" ref="G88:G95">(F88+I88)/(E88-F88)</f>
        <v>-0.019153225806451613</v>
      </c>
      <c r="H88" s="282"/>
      <c r="I88" s="128"/>
    </row>
    <row r="89" spans="1:9" ht="14.25">
      <c r="A89" s="324" t="s">
        <v>1817</v>
      </c>
      <c r="B89" s="12" t="b">
        <v>1</v>
      </c>
      <c r="C89" s="16">
        <v>40256</v>
      </c>
      <c r="D89" s="177">
        <v>0.030555555555555555</v>
      </c>
      <c r="E89" s="331">
        <v>371</v>
      </c>
      <c r="F89" s="332">
        <v>-3</v>
      </c>
      <c r="G89" s="30">
        <f t="shared" si="5"/>
        <v>-0.008021390374331552</v>
      </c>
      <c r="H89" s="282"/>
      <c r="I89" s="128"/>
    </row>
    <row r="90" spans="1:9" ht="14.25">
      <c r="A90" s="324" t="s">
        <v>1819</v>
      </c>
      <c r="B90" s="12" t="b">
        <f>$B$89</f>
        <v>1</v>
      </c>
      <c r="C90" s="16">
        <v>40256</v>
      </c>
      <c r="D90" s="177">
        <v>0.030555555555555555</v>
      </c>
      <c r="E90" s="331">
        <v>956.5</v>
      </c>
      <c r="F90" s="332">
        <v>-2.5</v>
      </c>
      <c r="G90" s="30">
        <f t="shared" si="5"/>
        <v>-0.0026068821689259644</v>
      </c>
      <c r="H90" s="282"/>
      <c r="I90" s="128"/>
    </row>
    <row r="91" spans="1:9" ht="14.25">
      <c r="A91" s="324" t="s">
        <v>687</v>
      </c>
      <c r="B91" s="12" t="b">
        <f>$B$89</f>
        <v>1</v>
      </c>
      <c r="C91" s="16">
        <v>40256</v>
      </c>
      <c r="D91" s="177">
        <v>0.029861111111111113</v>
      </c>
      <c r="E91" s="331">
        <v>18.75</v>
      </c>
      <c r="F91" s="332">
        <v>0.42</v>
      </c>
      <c r="G91" s="30">
        <f t="shared" si="5"/>
        <v>0.02291325695581015</v>
      </c>
      <c r="H91" s="282"/>
      <c r="I91" s="128"/>
    </row>
    <row r="92" spans="1:9" ht="14.25">
      <c r="A92" s="324" t="s">
        <v>688</v>
      </c>
      <c r="B92" s="12" t="b">
        <f>$B$89</f>
        <v>1</v>
      </c>
      <c r="C92" s="16">
        <v>40256</v>
      </c>
      <c r="D92" s="177">
        <v>0.030555555555555555</v>
      </c>
      <c r="E92" s="331">
        <v>82.13</v>
      </c>
      <c r="F92" s="332">
        <v>0.96</v>
      </c>
      <c r="G92" s="30">
        <f t="shared" si="5"/>
        <v>0.011827029690772452</v>
      </c>
      <c r="H92" s="282"/>
      <c r="I92" s="128"/>
    </row>
    <row r="93" spans="1:9" ht="14.25">
      <c r="A93" s="324" t="s">
        <v>689</v>
      </c>
      <c r="B93" s="12" t="b">
        <f>$B$89</f>
        <v>1</v>
      </c>
      <c r="C93" s="16">
        <v>40256</v>
      </c>
      <c r="D93" s="177">
        <v>0.030555555555555555</v>
      </c>
      <c r="E93" s="331">
        <v>135.7</v>
      </c>
      <c r="F93" s="332">
        <v>2.1</v>
      </c>
      <c r="G93" s="30">
        <f t="shared" si="5"/>
        <v>0.0157185628742515</v>
      </c>
      <c r="H93" s="282"/>
      <c r="I93" s="128"/>
    </row>
    <row r="94" spans="1:9" ht="15" thickBot="1">
      <c r="A94" s="324" t="s">
        <v>1913</v>
      </c>
      <c r="B94" s="12" t="b">
        <f>$B$89</f>
        <v>1</v>
      </c>
      <c r="C94" s="16">
        <v>40256</v>
      </c>
      <c r="D94" s="177">
        <v>0.030555555555555555</v>
      </c>
      <c r="E94" s="331">
        <v>39.32</v>
      </c>
      <c r="F94" s="332">
        <v>-0.51</v>
      </c>
      <c r="G94" s="30">
        <f t="shared" si="5"/>
        <v>-0.012804418779814211</v>
      </c>
      <c r="H94" s="282"/>
      <c r="I94" s="128"/>
    </row>
    <row r="95" spans="1:9" ht="15.75" thickBot="1" thickTop="1">
      <c r="A95" s="335" t="s">
        <v>1793</v>
      </c>
      <c r="B95" s="336" t="b">
        <v>1</v>
      </c>
      <c r="C95" s="337">
        <v>40256</v>
      </c>
      <c r="D95" s="338">
        <v>0.04513888888888889</v>
      </c>
      <c r="E95" s="339">
        <v>347.1</v>
      </c>
      <c r="F95" s="340">
        <v>0</v>
      </c>
      <c r="G95" s="341">
        <f t="shared" si="5"/>
        <v>0</v>
      </c>
      <c r="H95" s="342" t="str">
        <f>HYPERLINK("http://www3.sgx.com/live/dt/IBM_DTFuture.asp?SGFE","SGX MSCI Singapore (SiMSCI) Futures")</f>
        <v>SGX MSCI Singapore (SiMSCI) Futures</v>
      </c>
      <c r="I95" s="128"/>
    </row>
    <row r="96" spans="1:9" ht="15" thickTop="1">
      <c r="A96" s="353" t="s">
        <v>1565</v>
      </c>
      <c r="B96" s="67"/>
      <c r="C96" s="16"/>
      <c r="D96" s="177"/>
      <c r="E96" s="102"/>
      <c r="F96" s="12"/>
      <c r="G96" s="30"/>
      <c r="H96" s="78"/>
      <c r="I96" s="128"/>
    </row>
    <row r="97" spans="1:9" ht="14.25">
      <c r="A97" s="218" t="s">
        <v>697</v>
      </c>
      <c r="B97" s="67"/>
      <c r="C97" s="16">
        <v>40238</v>
      </c>
      <c r="D97" s="177">
        <v>40238</v>
      </c>
      <c r="E97" s="220">
        <v>90.5478</v>
      </c>
      <c r="F97" s="12">
        <v>0</v>
      </c>
      <c r="G97" s="30">
        <f>(F97+I97)/(E97-F97)</f>
        <v>0</v>
      </c>
      <c r="H97" s="43" t="str">
        <f>HYPERLINK("http://finance.yahoo.com/q?s=^IEF-IV","^IEF-IV")</f>
        <v>^IEF-IV</v>
      </c>
      <c r="I97" s="82"/>
    </row>
    <row r="98" spans="1:9" ht="14.25">
      <c r="A98" s="218" t="s">
        <v>2059</v>
      </c>
      <c r="B98" s="67"/>
      <c r="C98" s="16">
        <v>40389</v>
      </c>
      <c r="D98" s="177">
        <v>40389</v>
      </c>
      <c r="E98" s="102">
        <v>100.64</v>
      </c>
      <c r="F98" s="12">
        <v>0.0799999999999983</v>
      </c>
      <c r="G98" s="30">
        <f>(F98+I98)/(E98-F98)</f>
        <v>0.0007955449482895614</v>
      </c>
      <c r="H98" s="43" t="str">
        <f>HYPERLINK("http://finance.yahoo.com/q?s=^IGOV-IV","^IGOV-IV")</f>
        <v>^IGOV-IV</v>
      </c>
      <c r="I98" s="82"/>
    </row>
    <row r="99" spans="1:9" ht="14.25">
      <c r="A99" s="218" t="s">
        <v>695</v>
      </c>
      <c r="B99" s="12"/>
      <c r="C99" s="16"/>
      <c r="D99" s="177"/>
      <c r="E99" s="102"/>
      <c r="F99" s="12"/>
      <c r="G99" s="30"/>
      <c r="H99" s="43"/>
      <c r="I99" s="82"/>
    </row>
    <row r="100" spans="1:9" ht="14.25">
      <c r="A100" s="218" t="s">
        <v>696</v>
      </c>
      <c r="B100" s="12"/>
      <c r="C100" s="16"/>
      <c r="D100" s="177"/>
      <c r="E100" s="102"/>
      <c r="F100" s="12"/>
      <c r="G100" s="30"/>
      <c r="H100" s="43"/>
      <c r="I100" s="82"/>
    </row>
    <row r="101" spans="1:9" ht="13.5">
      <c r="A101" s="316" t="s">
        <v>434</v>
      </c>
      <c r="B101" s="10" t="b">
        <f>AND($B$122=FALSE,OR(B57,$B$121))</f>
        <v>1</v>
      </c>
      <c r="C101" s="15">
        <v>40256</v>
      </c>
      <c r="D101" s="319">
        <v>0.08611111111111125</v>
      </c>
      <c r="E101" s="99">
        <v>5054</v>
      </c>
      <c r="F101" s="10">
        <v>-53.8</v>
      </c>
      <c r="G101" s="28">
        <f aca="true" t="shared" si="6" ref="G101:G111">(F101+I101)/(E101-F101)</f>
        <v>-0.010532910450683268</v>
      </c>
      <c r="H101" s="42" t="str">
        <f>HYPERLINK("http://finance.yahoo.com/q?s=BRLJPY=X","BRL/JPY")</f>
        <v>BRL/JPY</v>
      </c>
      <c r="I101" s="82"/>
    </row>
    <row r="102" spans="1:9" ht="13.5">
      <c r="A102" s="32" t="s">
        <v>435</v>
      </c>
      <c r="B102" s="12" t="b">
        <f>AND($B$122=FALSE,OR(B61,$B$121))</f>
        <v>1</v>
      </c>
      <c r="C102" s="16">
        <v>40256</v>
      </c>
      <c r="D102" s="177">
        <v>0.08611111111111125</v>
      </c>
      <c r="E102" s="57">
        <v>1.989</v>
      </c>
      <c r="F102" s="12">
        <v>-0.0029</v>
      </c>
      <c r="G102" s="30">
        <f t="shared" si="6"/>
        <v>-0.0014558963803403785</v>
      </c>
      <c r="H102" s="43" t="str">
        <f>HYPERLINK("http://finance.yahoo.com/q?s=INRJPY=X","INR/JPY")</f>
        <v>INR/JPY</v>
      </c>
      <c r="I102" s="82"/>
    </row>
    <row r="103" spans="1:9" ht="13.5">
      <c r="A103" s="32" t="s">
        <v>436</v>
      </c>
      <c r="B103" s="12" t="b">
        <f>AND($B$122=FALSE,OR(B56,$B$121))</f>
        <v>1</v>
      </c>
      <c r="C103" s="16">
        <v>40256</v>
      </c>
      <c r="D103" s="177">
        <v>0.08611111111111125</v>
      </c>
      <c r="E103" s="57">
        <v>12.358</v>
      </c>
      <c r="F103" s="12">
        <v>-0.007</v>
      </c>
      <c r="G103" s="30">
        <f t="shared" si="6"/>
        <v>-0.0005661140315406389</v>
      </c>
      <c r="H103" s="43" t="str">
        <f>HYPERLINK("http://finance.yahoo.com/q?s=ZARJPY=X","ZAR/JPY")</f>
        <v>ZAR/JPY</v>
      </c>
      <c r="I103" s="82"/>
    </row>
    <row r="104" spans="1:9" ht="13.5">
      <c r="A104" s="32" t="s">
        <v>437</v>
      </c>
      <c r="B104" s="12" t="b">
        <f>AND($B$122=FALSE,OR(B50:B51,$B$121))</f>
        <v>1</v>
      </c>
      <c r="C104" s="16">
        <v>40256</v>
      </c>
      <c r="D104" s="177">
        <v>0.08611111111111125</v>
      </c>
      <c r="E104" s="57">
        <v>13.24</v>
      </c>
      <c r="F104" s="12">
        <v>0.005</v>
      </c>
      <c r="G104" s="30">
        <f t="shared" si="6"/>
        <v>0.0003777861730260673</v>
      </c>
      <c r="H104" s="43" t="str">
        <f>HYPERLINK("http://finance.yahoo.com/q?s=CNYJPY=X","CNY/JPY")</f>
        <v>CNY/JPY</v>
      </c>
      <c r="I104" s="82"/>
    </row>
    <row r="105" spans="1:9" ht="13.5">
      <c r="A105" s="32" t="s">
        <v>440</v>
      </c>
      <c r="B105" s="12" t="b">
        <f>AND($B$122=FALSE,OR(B36,B48:B48,B54:B55,B59,B63,B107:B112,$B$121))</f>
        <v>1</v>
      </c>
      <c r="C105" s="16">
        <v>40256</v>
      </c>
      <c r="D105" s="177">
        <v>0.08680555555555536</v>
      </c>
      <c r="E105" s="57">
        <v>90.405</v>
      </c>
      <c r="F105" s="12">
        <v>0.02</v>
      </c>
      <c r="G105" s="30">
        <f>(F105+I105)/(E105-F105)</f>
        <v>0.00022127565414615255</v>
      </c>
      <c r="H105" s="43" t="str">
        <f>HYPERLINK("http://finance.yahoo.com/q?s=USDJPY=X","USD/JPY")</f>
        <v>USD/JPY</v>
      </c>
      <c r="I105" s="82"/>
    </row>
    <row r="106" spans="1:9" ht="13.5">
      <c r="A106" s="32" t="s">
        <v>441</v>
      </c>
      <c r="B106" s="12" t="b">
        <f>AND($B$122=FALSE,OR(B52,B58,$B$121))</f>
        <v>1</v>
      </c>
      <c r="C106" s="16">
        <v>40256</v>
      </c>
      <c r="D106" s="177">
        <v>0.08611111111111125</v>
      </c>
      <c r="E106" s="57">
        <v>12.532</v>
      </c>
      <c r="F106" s="12">
        <v>0.038</v>
      </c>
      <c r="G106" s="30">
        <f>(F106+I106)/(E106-F106)</f>
        <v>0.003041459900752361</v>
      </c>
      <c r="H106" s="43" t="str">
        <f>HYPERLINK("http://finance.yahoo.com/q?s=JPYKRW=X","JPY/KRW")</f>
        <v>JPY/KRW</v>
      </c>
      <c r="I106" s="82"/>
    </row>
    <row r="107" spans="1:9" ht="13.5">
      <c r="A107" s="32" t="s">
        <v>438</v>
      </c>
      <c r="B107" s="12" t="b">
        <f>AND($B$122=FALSE,OR(B53,$B$121))</f>
        <v>1</v>
      </c>
      <c r="C107" s="16">
        <v>40256</v>
      </c>
      <c r="D107" s="177">
        <v>0.08402777777777803</v>
      </c>
      <c r="E107" s="190">
        <v>31.75</v>
      </c>
      <c r="F107" s="67">
        <v>0.025</v>
      </c>
      <c r="G107" s="30">
        <f t="shared" si="6"/>
        <v>0.0007880220646178094</v>
      </c>
      <c r="H107" s="43" t="str">
        <f>HYPERLINK("http://finance.yahoo.com/q?s=USDTWD=X","USD/TWD")</f>
        <v>USD/TWD</v>
      </c>
      <c r="I107" s="82"/>
    </row>
    <row r="108" spans="1:9" ht="13.5">
      <c r="A108" s="32" t="s">
        <v>442</v>
      </c>
      <c r="B108" s="12" t="b">
        <f>AND($B$122=FALSE,OR(B66,$B$121))</f>
        <v>1</v>
      </c>
      <c r="C108" s="16">
        <v>40256</v>
      </c>
      <c r="D108" s="177">
        <v>0.08680555555555536</v>
      </c>
      <c r="E108" s="190">
        <v>1.0142</v>
      </c>
      <c r="F108" s="67">
        <v>0.0036</v>
      </c>
      <c r="G108" s="30">
        <f>(F108+I108)/(E108-F108)</f>
        <v>0.0035622402533148625</v>
      </c>
      <c r="H108" s="43" t="str">
        <f>HYPERLINK("http://finance.yahoo.com/q?s=USDCAD=X","USD/CAD")</f>
        <v>USD/CAD</v>
      </c>
      <c r="I108" s="82"/>
    </row>
    <row r="109" spans="1:9" ht="13.5">
      <c r="A109" s="32" t="s">
        <v>1090</v>
      </c>
      <c r="B109" s="12" t="b">
        <f>AND($B$122=FALSE,OR(B68,$B$121))</f>
        <v>1</v>
      </c>
      <c r="C109" s="16">
        <v>40256</v>
      </c>
      <c r="D109" s="177">
        <v>0.08611111111111125</v>
      </c>
      <c r="E109" s="190">
        <v>7.7608</v>
      </c>
      <c r="F109" s="67">
        <v>-0.0003</v>
      </c>
      <c r="G109" s="30">
        <f>(F109+I109)/(E109-F109)</f>
        <v>-3.8654314465732947E-05</v>
      </c>
      <c r="H109" s="43" t="str">
        <f>HYPERLINK("http://finance.yahoo.com/q?s=USDHKD=X","USD/HKD")</f>
        <v>USD/HKD</v>
      </c>
      <c r="I109" s="82"/>
    </row>
    <row r="110" spans="1:9" ht="13.5">
      <c r="A110" s="32" t="s">
        <v>1091</v>
      </c>
      <c r="B110" s="12" t="b">
        <f>AND($B$122=FALSE,OR(B95,$B$121))</f>
        <v>1</v>
      </c>
      <c r="C110" s="16">
        <v>40256</v>
      </c>
      <c r="D110" s="177">
        <v>0.08611111111111125</v>
      </c>
      <c r="E110" s="190">
        <v>1.396</v>
      </c>
      <c r="F110" s="67">
        <v>0.0027</v>
      </c>
      <c r="G110" s="30">
        <f>(F110+I110)/(E110-F110)</f>
        <v>0.001937845403000072</v>
      </c>
      <c r="H110" s="43" t="str">
        <f>HYPERLINK("http://finance.yahoo.com/q?s=USDSGD=X","USD/SGD")</f>
        <v>USD/SGD</v>
      </c>
      <c r="I110" s="82"/>
    </row>
    <row r="111" spans="1:9" ht="13.5">
      <c r="A111" s="32" t="s">
        <v>439</v>
      </c>
      <c r="B111" s="12" t="b">
        <f>AND($B$122=FALSE,OR(B69,$B$121))</f>
        <v>1</v>
      </c>
      <c r="C111" s="16">
        <v>40256</v>
      </c>
      <c r="D111" s="177">
        <v>0.08611111111111125</v>
      </c>
      <c r="E111" s="190">
        <v>1.0877</v>
      </c>
      <c r="F111" s="67">
        <v>0.0045</v>
      </c>
      <c r="G111" s="30">
        <f t="shared" si="6"/>
        <v>0.004154357459379616</v>
      </c>
      <c r="H111" s="43" t="str">
        <f>HYPERLINK("http://finance.yahoo.com/q?s=USDAUD=X","USD/AUD")</f>
        <v>USD/AUD</v>
      </c>
      <c r="I111" s="82"/>
    </row>
    <row r="112" spans="1:9" ht="13.5">
      <c r="A112" s="33" t="s">
        <v>443</v>
      </c>
      <c r="B112" s="14" t="b">
        <f>AND($B$122=FALSE,OR(B67,$B$121))</f>
        <v>1</v>
      </c>
      <c r="C112" s="17">
        <v>40256</v>
      </c>
      <c r="D112" s="320">
        <v>0.08680555555555536</v>
      </c>
      <c r="E112" s="60">
        <v>1.3598</v>
      </c>
      <c r="F112" s="14">
        <v>-0.0139</v>
      </c>
      <c r="G112" s="165">
        <f>(F112+I112)/(E112-F112)</f>
        <v>-0.010118657639950498</v>
      </c>
      <c r="H112" s="321" t="str">
        <f>HYPERLINK("http://finance.yahoo.com/q?s=EURUSD=X","EUR/USD")</f>
        <v>EUR/USD</v>
      </c>
      <c r="I112" s="82"/>
    </row>
    <row r="113" spans="1:9" ht="13.5">
      <c r="A113" s="32"/>
      <c r="B113" s="12"/>
      <c r="C113" s="16"/>
      <c r="D113" s="177"/>
      <c r="E113" s="57"/>
      <c r="F113" s="12"/>
      <c r="G113" s="30"/>
      <c r="H113" s="78"/>
      <c r="I113" s="318"/>
    </row>
    <row r="114" spans="1:9" ht="13.5">
      <c r="A114" s="32"/>
      <c r="B114" s="12"/>
      <c r="C114" s="16"/>
      <c r="D114" s="16"/>
      <c r="E114" s="41"/>
      <c r="F114" s="41"/>
      <c r="G114" s="41"/>
      <c r="H114" s="78"/>
      <c r="I114" s="12"/>
    </row>
    <row r="115" spans="1:9" ht="13.5">
      <c r="A115" s="73" t="s">
        <v>1004</v>
      </c>
      <c r="B115" s="12" t="s">
        <v>316</v>
      </c>
      <c r="C115" s="16"/>
      <c r="D115" s="177">
        <f>D37</f>
        <v>0.5027777777777778</v>
      </c>
      <c r="E115" s="41">
        <f>E105*E37/31.1035</f>
        <v>3266.7120902792294</v>
      </c>
      <c r="F115" s="41">
        <f>E44</f>
        <v>3263</v>
      </c>
      <c r="G115" s="246">
        <f>E115/F115-1</f>
        <v>0.0011376310999784423</v>
      </c>
      <c r="H115" s="240" t="s">
        <v>218</v>
      </c>
      <c r="I115" s="12"/>
    </row>
    <row r="116" spans="1:9" ht="13.5">
      <c r="A116" s="73"/>
      <c r="B116" s="12"/>
      <c r="C116" s="16"/>
      <c r="D116" s="57"/>
      <c r="E116" s="41">
        <f>E39*E105/31.1035</f>
        <v>4737.735303100937</v>
      </c>
      <c r="F116" s="41">
        <f>E47</f>
        <v>4701</v>
      </c>
      <c r="G116" s="246">
        <f>E116/F116-1</f>
        <v>0.007814359306729912</v>
      </c>
      <c r="H116" s="240" t="s">
        <v>219</v>
      </c>
      <c r="I116" s="12"/>
    </row>
    <row r="117" spans="1:7" ht="13.5">
      <c r="A117" s="1" t="s">
        <v>1926</v>
      </c>
      <c r="B117" t="b">
        <v>1</v>
      </c>
      <c r="D117" s="21"/>
      <c r="G117" s="2"/>
    </row>
    <row r="118" spans="1:7" ht="13.5">
      <c r="A118" s="1"/>
      <c r="D118" s="21"/>
      <c r="G118" s="2"/>
    </row>
    <row r="119" spans="1:7" ht="13.5">
      <c r="A119" s="1" t="s">
        <v>1977</v>
      </c>
      <c r="D119" s="21"/>
      <c r="G119" s="2"/>
    </row>
    <row r="120" spans="1:7" ht="13.5">
      <c r="A120" s="316" t="s">
        <v>1829</v>
      </c>
      <c r="B120" s="317" t="b">
        <f>B123=1</f>
        <v>1</v>
      </c>
      <c r="D120" s="21"/>
      <c r="G120" s="2"/>
    </row>
    <row r="121" spans="1:4" ht="13.5">
      <c r="A121" s="32" t="s">
        <v>1830</v>
      </c>
      <c r="B121" s="31" t="b">
        <f>B123=2</f>
        <v>0</v>
      </c>
      <c r="D121" t="s">
        <v>1765</v>
      </c>
    </row>
    <row r="122" spans="1:2" ht="13.5">
      <c r="A122" s="32" t="s">
        <v>1976</v>
      </c>
      <c r="B122" s="31" t="b">
        <f>B123=3</f>
        <v>0</v>
      </c>
    </row>
    <row r="123" spans="1:2" ht="13.5">
      <c r="A123" s="33"/>
      <c r="B123" s="154">
        <v>1</v>
      </c>
    </row>
    <row r="124" spans="1:2" ht="13.5">
      <c r="A124" s="76"/>
      <c r="B124" s="12"/>
    </row>
    <row r="126" spans="4:7" ht="13.5">
      <c r="D126" s="71">
        <v>40118</v>
      </c>
      <c r="E126" t="s">
        <v>237</v>
      </c>
      <c r="G126" t="s">
        <v>1067</v>
      </c>
    </row>
    <row r="127" spans="4:7" ht="13.5">
      <c r="D127" s="71">
        <v>40111</v>
      </c>
      <c r="E127" t="s">
        <v>237</v>
      </c>
      <c r="G127" t="s">
        <v>1055</v>
      </c>
    </row>
    <row r="128" spans="1:4" ht="13.5">
      <c r="A128" s="9" t="s">
        <v>1978</v>
      </c>
      <c r="B128" s="317">
        <v>1</v>
      </c>
      <c r="D128" s="71"/>
    </row>
    <row r="129" spans="1:2" ht="13.5">
      <c r="A129" s="13" t="str">
        <f ca="1">HOUR(NOW()+1/48)&amp;"時0分近辺のデータを取得"</f>
        <v>1時0分近辺のデータを取得</v>
      </c>
      <c r="B129" s="154" t="b">
        <f>B128=2</f>
        <v>0</v>
      </c>
    </row>
    <row r="130" ht="13.5">
      <c r="A130" s="51"/>
    </row>
    <row r="132" spans="1:2" ht="13.5">
      <c r="A132" t="s">
        <v>1067</v>
      </c>
      <c r="B132">
        <f>IF(US_SUMMERTIME,-1/12,0)</f>
        <v>0</v>
      </c>
    </row>
    <row r="133" ht="13.5">
      <c r="D133" t="s">
        <v>1974</v>
      </c>
    </row>
    <row r="134" spans="1:4" ht="13.5">
      <c r="A134" t="s">
        <v>1066</v>
      </c>
      <c r="D134" t="s">
        <v>1570</v>
      </c>
    </row>
    <row r="135" ht="13.5">
      <c r="D135" t="s">
        <v>1975</v>
      </c>
    </row>
    <row r="137" spans="1:2" ht="13.5">
      <c r="A137" t="s">
        <v>1067</v>
      </c>
      <c r="B137">
        <v>-5</v>
      </c>
    </row>
    <row r="138" spans="1:2" ht="13.5">
      <c r="A138" t="s">
        <v>1054</v>
      </c>
      <c r="B138">
        <v>9</v>
      </c>
    </row>
    <row r="139" ht="13.5">
      <c r="A139" s="21"/>
    </row>
    <row r="140" ht="13.5">
      <c r="A140" s="21"/>
    </row>
    <row r="142" spans="1:6" ht="13.5">
      <c r="A142" s="143" t="s">
        <v>1531</v>
      </c>
      <c r="B142" s="144" t="s">
        <v>1532</v>
      </c>
      <c r="C142" s="144" t="s">
        <v>2003</v>
      </c>
      <c r="D142" s="114" t="s">
        <v>1534</v>
      </c>
      <c r="E142" s="144" t="s">
        <v>1533</v>
      </c>
      <c r="F142" s="312" t="s">
        <v>1768</v>
      </c>
    </row>
    <row r="143" spans="1:6" ht="14.25">
      <c r="A143" s="62" t="s">
        <v>1738</v>
      </c>
      <c r="B143" s="302">
        <v>0.189</v>
      </c>
      <c r="C143" s="30">
        <f>IF(('基準価額'!$D$88)&lt;('指数取得'!$C$50),'指数取得'!$G$50,0)</f>
        <v>-0.005260315393531061</v>
      </c>
      <c r="D143" s="300">
        <f>(1+G104)/(1+$G$105)</f>
        <v>1.000156475894574</v>
      </c>
      <c r="E143" s="57">
        <f>IF($C$50&gt;'基準価額'!$C$207,IF($B$50,1,0),0)</f>
        <v>1</v>
      </c>
      <c r="F143" s="298">
        <f>D50</f>
        <v>0.6770833333333334</v>
      </c>
    </row>
    <row r="144" spans="1:6" ht="14.25">
      <c r="A144" s="62" t="s">
        <v>1739</v>
      </c>
      <c r="B144" s="302">
        <v>0.151</v>
      </c>
      <c r="C144" s="30">
        <f>IF(('基準価額'!$D$88)&lt;('指数取得'!$C$57),'指数取得'!$G$57,0)</f>
        <v>-0.010708194283570298</v>
      </c>
      <c r="D144" s="300">
        <f>(1+G101)/(1+$G$105)</f>
        <v>0.9892481930082959</v>
      </c>
      <c r="E144" s="57">
        <f>IF($C$57&gt;'基準価額'!$C$207,IF($B$57,1,0),0)</f>
        <v>1</v>
      </c>
      <c r="F144" s="298">
        <f>D57</f>
        <v>0.04513888888888889</v>
      </c>
    </row>
    <row r="145" spans="1:6" ht="14.25">
      <c r="A145" s="62" t="s">
        <v>1740</v>
      </c>
      <c r="B145" s="302">
        <v>0.121</v>
      </c>
      <c r="C145" s="30">
        <f>IF(('基準価額'!$D$88)&lt;('指数取得'!$C$52),'指数取得'!$G$52,0)</f>
        <v>-0.00571999273651716</v>
      </c>
      <c r="D145" s="300">
        <f>1/(1+$G$105)/(1+G106)</f>
        <v>0.9967472066377612</v>
      </c>
      <c r="E145" s="57">
        <f>IF($C$52&gt;'基準価額'!$C$207,IF($B$52,1,0),0)</f>
        <v>1</v>
      </c>
      <c r="F145" s="298">
        <f>D52</f>
        <v>0.7520833333333333</v>
      </c>
    </row>
    <row r="146" spans="1:6" ht="14.25">
      <c r="A146" s="62" t="s">
        <v>1748</v>
      </c>
      <c r="B146" s="302">
        <v>0.114</v>
      </c>
      <c r="C146" s="30">
        <f>IF(('基準価額'!$D$88)&lt;('指数取得'!$C$53),'指数取得'!$G$53,0)</f>
        <v>0.004905808477237049</v>
      </c>
      <c r="D146" s="300">
        <f>1/(1+G107)</f>
        <v>0.9992125984251969</v>
      </c>
      <c r="E146" s="57">
        <f>IF($C$53&gt;'基準価額'!C$207,IF($B$53,1,0),0)</f>
        <v>1</v>
      </c>
      <c r="F146" s="298">
        <f>D53</f>
        <v>0.6152777777777778</v>
      </c>
    </row>
    <row r="147" spans="1:6" ht="14.25">
      <c r="A147" s="62" t="s">
        <v>1741</v>
      </c>
      <c r="B147" s="302">
        <v>0.065</v>
      </c>
      <c r="C147" s="30">
        <f>IF(('基準価額'!$D$88)&lt;('指数取得'!$C$61),'指数取得'!$G$61,0)</f>
        <v>0.0026758921233204</v>
      </c>
      <c r="D147" s="300">
        <f>(1+G102)/(1+$G$105)</f>
        <v>0.9983231990007514</v>
      </c>
      <c r="E147" s="57">
        <f>IF($C$61&gt;'基準価額'!$C$207,IF($B$61,1,0),0)</f>
        <v>1</v>
      </c>
      <c r="F147" s="298">
        <f>D61</f>
        <v>0.8319444444444444</v>
      </c>
    </row>
    <row r="148" spans="1:6" ht="14.25">
      <c r="A148" s="62" t="s">
        <v>1749</v>
      </c>
      <c r="B148" s="302">
        <v>0.06</v>
      </c>
      <c r="C148" s="30">
        <f>IF(('基準価額'!$D$88)&lt;('指数取得'!$C$54),'指数取得'!$G$54,0)</f>
        <v>-0.0029805687385670247</v>
      </c>
      <c r="D148" s="300">
        <v>1</v>
      </c>
      <c r="E148" s="57">
        <f>IF($C$54&gt;'基準価額'!$C$207,IF($B$54,1,0),0)</f>
        <v>1</v>
      </c>
      <c r="F148" s="298">
        <f>D54</f>
        <v>0.03125</v>
      </c>
    </row>
    <row r="149" spans="1:6" ht="14.25">
      <c r="A149" s="358" t="s">
        <v>1742</v>
      </c>
      <c r="B149" s="303">
        <v>0.078</v>
      </c>
      <c r="C149" s="165">
        <f>IF(('基準価額'!$D$88)&lt;('指数取得'!$C$56),'指数取得'!$G$56,0)</f>
        <v>0.01059623176558448</v>
      </c>
      <c r="D149" s="301">
        <f>(1+G103)/(1+$G$105)</f>
        <v>0.9992127845059365</v>
      </c>
      <c r="E149" s="60">
        <f>IF($C$56&gt;'基準価額'!$C$207,IF($B$56,1,0),0)*1</f>
        <v>1</v>
      </c>
      <c r="F149" s="299">
        <f>D56</f>
        <v>0</v>
      </c>
    </row>
    <row r="150" spans="1:6" ht="13.5">
      <c r="A150" t="s">
        <v>1767</v>
      </c>
      <c r="B150" s="297">
        <f>SUMPRODUCT(B$143:B$149,E$143:E$149)</f>
        <v>0.7779999999999999</v>
      </c>
      <c r="C150" s="246">
        <f>IF(B150,SUMPRODUCT(B$143:B$149,C$143:C$149,D$143:D$149,E$143:E$149)/B150,0)</f>
        <v>-0.002447674630371045</v>
      </c>
      <c r="D150" s="12"/>
      <c r="F150" s="237">
        <f>MAX(F143:F149)</f>
        <v>0.8319444444444444</v>
      </c>
    </row>
    <row r="152" ht="13.5">
      <c r="A152" t="s">
        <v>755</v>
      </c>
    </row>
    <row r="153" spans="1:10" ht="13.5">
      <c r="A153" s="143" t="s">
        <v>343</v>
      </c>
      <c r="B153" s="144" t="s">
        <v>1532</v>
      </c>
      <c r="C153" s="144" t="s">
        <v>2003</v>
      </c>
      <c r="D153" s="114" t="s">
        <v>1534</v>
      </c>
      <c r="E153" s="144" t="s">
        <v>1533</v>
      </c>
      <c r="F153" s="312" t="s">
        <v>1768</v>
      </c>
      <c r="G153" s="67" t="s">
        <v>1784</v>
      </c>
      <c r="H153" s="67" t="s">
        <v>1785</v>
      </c>
      <c r="J153" t="s">
        <v>1786</v>
      </c>
    </row>
    <row r="154" spans="1:10" ht="13.5">
      <c r="A154" s="9" t="s">
        <v>1086</v>
      </c>
      <c r="B154" s="313">
        <v>0.5630066712977733</v>
      </c>
      <c r="C154" s="28">
        <f>IF(('基準価額'!$D$87)&lt;('指数取得'!$C$65),'指数取得'!$G$65,0)</f>
        <v>-0.002842377260981912</v>
      </c>
      <c r="D154" s="314">
        <v>1</v>
      </c>
      <c r="E154" s="99">
        <f>IF($C$65&gt;'基準価額'!$C$206,1,0)</f>
        <v>1</v>
      </c>
      <c r="F154" s="315">
        <f>$D$65</f>
        <v>0.03263888888888889</v>
      </c>
      <c r="H154" s="100">
        <f>$E$65</f>
        <v>1157.7</v>
      </c>
      <c r="I154" t="s">
        <v>1787</v>
      </c>
      <c r="J154">
        <v>1</v>
      </c>
    </row>
    <row r="155" spans="1:10" ht="13.5">
      <c r="A155" s="11" t="s">
        <v>1087</v>
      </c>
      <c r="B155" s="302">
        <v>0.047310828939572565</v>
      </c>
      <c r="C155" s="30">
        <f>IF(('基準価額'!$D$87)&lt;('指数取得'!$C$66),'指数取得'!$G$66,0)</f>
        <v>-0.0028216704288939053</v>
      </c>
      <c r="D155" s="300">
        <f>1/(1+$G$108)</f>
        <v>0.9964504042595149</v>
      </c>
      <c r="E155" s="57">
        <f>IF($C$66&gt;'基準価額'!$C$206,1,0)</f>
        <v>1</v>
      </c>
      <c r="F155" s="298">
        <f>$D$66</f>
        <v>0.025</v>
      </c>
      <c r="H155" s="100">
        <f>$E$66</f>
        <v>706.8</v>
      </c>
      <c r="I155" t="s">
        <v>1788</v>
      </c>
      <c r="J155">
        <f>1/E108</f>
        <v>0.9859988168014199</v>
      </c>
    </row>
    <row r="156" spans="1:10" ht="13.5">
      <c r="A156" s="11" t="s">
        <v>342</v>
      </c>
      <c r="B156" s="302">
        <v>0.037418508846042725</v>
      </c>
      <c r="C156" s="30">
        <f>IF(('基準価額'!$D$87)&lt;('指数取得'!$C$69),'指数取得'!$G$69,0)</f>
        <v>0.0010248001639680262</v>
      </c>
      <c r="D156" s="300">
        <f>1/(1+$G$111)</f>
        <v>0.9958628298244001</v>
      </c>
      <c r="E156" s="57">
        <f>IF($C$69&gt;'基準価額'!$C$206,1,0)</f>
        <v>1</v>
      </c>
      <c r="F156" s="298">
        <f>$D$69</f>
        <v>0.03194444444444445</v>
      </c>
      <c r="H156" s="100">
        <f>$E$69</f>
        <v>4884</v>
      </c>
      <c r="I156" t="s">
        <v>1789</v>
      </c>
      <c r="J156">
        <f>1/E111</f>
        <v>0.919371150133309</v>
      </c>
    </row>
    <row r="157" spans="1:10" ht="13.5">
      <c r="A157" s="11" t="s">
        <v>341</v>
      </c>
      <c r="B157" s="302">
        <v>0.11233064922078613</v>
      </c>
      <c r="C157" s="30">
        <f>IF(('基準価額'!$D$87)&lt;('指数取得'!$C$67),'指数取得'!$G$67,0)</f>
        <v>-0.0061433447098976105</v>
      </c>
      <c r="D157" s="300">
        <f>$G$112+1</f>
        <v>0.9898813423600495</v>
      </c>
      <c r="E157" s="57">
        <f>IF($C$67&gt;'基準価額'!$C$206,1,0)</f>
        <v>1</v>
      </c>
      <c r="F157" s="298">
        <f>$D$67</f>
        <v>0.02847222222222222</v>
      </c>
      <c r="H157" s="100">
        <f>E67</f>
        <v>2912</v>
      </c>
      <c r="I157" t="s">
        <v>1790</v>
      </c>
      <c r="J157">
        <f>E112</f>
        <v>1.3598</v>
      </c>
    </row>
    <row r="158" spans="1:11" ht="13.5">
      <c r="A158" s="11" t="s">
        <v>344</v>
      </c>
      <c r="B158" s="302">
        <v>0.21796072494877802</v>
      </c>
      <c r="C158" s="30">
        <f>IF(('基準価額'!$D$73)&lt;('指数取得'!$C$71),'指数取得'!$G$71,0)</f>
        <v>-0.0061433447098976105</v>
      </c>
      <c r="D158" s="300">
        <f>$G$112+1</f>
        <v>0.9898813423600495</v>
      </c>
      <c r="E158" s="57">
        <f>IF($C$67&gt;'基準価額'!$C$206,1,0)</f>
        <v>1</v>
      </c>
      <c r="F158" s="298">
        <f>$D$71</f>
        <v>0.02638888888888889</v>
      </c>
      <c r="H158" s="100">
        <v>251.4</v>
      </c>
      <c r="I158" t="s">
        <v>1790</v>
      </c>
      <c r="J158">
        <f>J157</f>
        <v>1.3598</v>
      </c>
      <c r="K158" t="s">
        <v>1644</v>
      </c>
    </row>
    <row r="159" spans="1:10" ht="13.5">
      <c r="A159" s="11" t="s">
        <v>1085</v>
      </c>
      <c r="B159" s="302">
        <v>0.01205562136449011</v>
      </c>
      <c r="C159" s="30">
        <f>IF(('基準価額'!$D$87)&lt;('指数取得'!$C$68),'指数取得'!$G$68,0)</f>
        <v>-0.005233889434085705</v>
      </c>
      <c r="D159" s="300">
        <f>1/(1+G109)</f>
        <v>1.0000386558086796</v>
      </c>
      <c r="E159" s="57">
        <f>IF($C$68&gt;'基準価額'!$C$206,1,0)</f>
        <v>1</v>
      </c>
      <c r="F159" s="298">
        <f>$D$68</f>
        <v>0.71875</v>
      </c>
      <c r="H159" s="100">
        <f>E68</f>
        <v>21287</v>
      </c>
      <c r="I159" t="s">
        <v>1791</v>
      </c>
      <c r="J159">
        <f>1/E109</f>
        <v>0.12885269559839194</v>
      </c>
    </row>
    <row r="160" spans="1:10" ht="13.5">
      <c r="A160" s="13" t="s">
        <v>1089</v>
      </c>
      <c r="B160" s="303">
        <v>0.008622801111161801</v>
      </c>
      <c r="C160" s="165">
        <f>IF(('基準価額'!$D$87)&lt;('指数取得'!$C$95),'指数取得'!$G$95,0)</f>
        <v>0</v>
      </c>
      <c r="D160" s="301">
        <f>1/(G110+1)</f>
        <v>0.9980659025787965</v>
      </c>
      <c r="E160" s="60">
        <f>IF($C$95&gt;'基準価額'!$C$206,1,0)</f>
        <v>1</v>
      </c>
      <c r="F160" s="299">
        <f>$D$95</f>
        <v>0.04513888888888889</v>
      </c>
      <c r="H160" s="100">
        <f>E95</f>
        <v>347.1</v>
      </c>
      <c r="I160" t="s">
        <v>1792</v>
      </c>
      <c r="J160">
        <f>1/E110</f>
        <v>0.7163323782234957</v>
      </c>
    </row>
    <row r="161" spans="2:4" ht="13.5">
      <c r="B161" s="297">
        <f>SUMPRODUCT(B$154:B$160,E$154:E$160)</f>
        <v>0.9987058057286047</v>
      </c>
      <c r="C161" s="246">
        <f>IF(B161,SUMPRODUCT(B$154:B$160,C$154:C$160,D$154:D$160,E$154:E$160)/B161,0)</f>
        <v>-0.0037716547673979015</v>
      </c>
      <c r="D161" s="12"/>
    </row>
    <row r="171" spans="1:8" ht="13.5">
      <c r="A171" t="s">
        <v>139</v>
      </c>
      <c r="B171" t="s">
        <v>239</v>
      </c>
      <c r="C171" t="s">
        <v>1786</v>
      </c>
      <c r="D171" t="s">
        <v>1785</v>
      </c>
      <c r="E171" t="s">
        <v>1153</v>
      </c>
      <c r="F171" t="s">
        <v>1154</v>
      </c>
      <c r="G171" t="s">
        <v>1155</v>
      </c>
      <c r="H171" t="s">
        <v>1659</v>
      </c>
    </row>
    <row r="172" spans="1:8" ht="14.25">
      <c r="A172" s="349" t="s">
        <v>1743</v>
      </c>
      <c r="B172" s="169">
        <v>5550</v>
      </c>
      <c r="C172" s="344">
        <v>1</v>
      </c>
      <c r="D172" s="322">
        <f>$E$65</f>
        <v>1157.7</v>
      </c>
      <c r="E172" s="322">
        <f>$F$65</f>
        <v>-3.3</v>
      </c>
      <c r="F172" s="99">
        <f>IF($C$65&gt;'基準価額'!$C$206,IF($B$65,1,0),0)</f>
        <v>1</v>
      </c>
      <c r="G172" s="315">
        <f>$D$65</f>
        <v>0.03263888888888889</v>
      </c>
      <c r="H172" s="297">
        <v>0.0025</v>
      </c>
    </row>
    <row r="173" spans="1:8" ht="14.25">
      <c r="A173" s="350" t="s">
        <v>1744</v>
      </c>
      <c r="B173" s="348">
        <v>800</v>
      </c>
      <c r="C173" s="345">
        <f>1/$E$108</f>
        <v>0.9859988168014199</v>
      </c>
      <c r="D173" s="102">
        <f>$E$66</f>
        <v>706.8</v>
      </c>
      <c r="E173" s="102">
        <f>$F$66</f>
        <v>-2</v>
      </c>
      <c r="F173" s="57">
        <f>IF($C$66&gt;'基準価額'!$C$206,IF($B$66,1,0),0)</f>
        <v>1</v>
      </c>
      <c r="G173" s="298">
        <f>$D$66</f>
        <v>0.025</v>
      </c>
      <c r="H173" s="297">
        <v>0.0025</v>
      </c>
    </row>
    <row r="174" spans="1:8" ht="14.25">
      <c r="A174" s="350" t="s">
        <v>1745</v>
      </c>
      <c r="B174" s="348">
        <v>100</v>
      </c>
      <c r="C174" s="345">
        <f>1/$E$111</f>
        <v>0.919371150133309</v>
      </c>
      <c r="D174" s="102">
        <f>$E$69</f>
        <v>4884</v>
      </c>
      <c r="E174" s="102">
        <f>$F$69</f>
        <v>5</v>
      </c>
      <c r="F174" s="57">
        <f>IF($C$69&gt;'基準価額'!$C$206,IF($B$69,1,0),0)</f>
        <v>1</v>
      </c>
      <c r="G174" s="298">
        <f>$D$69</f>
        <v>0.03194444444444445</v>
      </c>
      <c r="H174" s="297">
        <v>0.04</v>
      </c>
    </row>
    <row r="175" spans="1:8" ht="14.25">
      <c r="A175" s="350" t="s">
        <v>1750</v>
      </c>
      <c r="B175" s="348">
        <v>370</v>
      </c>
      <c r="C175" s="345">
        <f>$E$112</f>
        <v>1.3598</v>
      </c>
      <c r="D175" s="102">
        <f>$E$67</f>
        <v>2912</v>
      </c>
      <c r="E175" s="102">
        <f>$F$67</f>
        <v>-18</v>
      </c>
      <c r="F175" s="57">
        <f>IF($C$67&gt;'基準価額'!$C$206,IF($B$67,1,0),0)</f>
        <v>1</v>
      </c>
      <c r="G175" s="298">
        <f>$D$67</f>
        <v>0.02847222222222222</v>
      </c>
      <c r="H175" s="297">
        <v>0.01</v>
      </c>
    </row>
    <row r="176" spans="1:8" ht="14.25">
      <c r="A176" s="350" t="s">
        <v>1746</v>
      </c>
      <c r="B176" s="348">
        <v>7200</v>
      </c>
      <c r="C176" s="345">
        <f>$E$112</f>
        <v>1.3598</v>
      </c>
      <c r="D176" s="102">
        <f>$E$71</f>
        <v>261.39</v>
      </c>
      <c r="E176" s="102">
        <f>E175/D175*D176</f>
        <v>-1.61573489010989</v>
      </c>
      <c r="F176" s="57">
        <f>IF($C$67&gt;'基準価額'!$C$206,IF($B$67,1,0),0)</f>
        <v>1</v>
      </c>
      <c r="G176" s="298">
        <f>$D$71</f>
        <v>0.02638888888888889</v>
      </c>
      <c r="H176" s="297">
        <v>0.01</v>
      </c>
    </row>
    <row r="177" spans="1:8" ht="14.25">
      <c r="A177" s="350" t="s">
        <v>1751</v>
      </c>
      <c r="B177" s="348">
        <v>50</v>
      </c>
      <c r="C177" s="345">
        <f>1/$E$109</f>
        <v>0.12885269559839194</v>
      </c>
      <c r="D177" s="102">
        <f>$E$68</f>
        <v>21287</v>
      </c>
      <c r="E177" s="102">
        <f>$F$68</f>
        <v>-112</v>
      </c>
      <c r="F177" s="57">
        <f>IF($C$68&gt;'基準価額'!$C$206,IF($B$68,1,0),0)</f>
        <v>1</v>
      </c>
      <c r="G177" s="298">
        <f>$D$68</f>
        <v>0.71875</v>
      </c>
      <c r="H177" s="297">
        <v>0.005</v>
      </c>
    </row>
    <row r="178" spans="1:8" ht="14.25">
      <c r="A178" s="351" t="s">
        <v>1747</v>
      </c>
      <c r="B178" s="172">
        <v>400</v>
      </c>
      <c r="C178" s="346">
        <f>1/$E$110</f>
        <v>0.7163323782234957</v>
      </c>
      <c r="D178" s="323">
        <f>$E$95</f>
        <v>347.1</v>
      </c>
      <c r="E178" s="323">
        <f>$F$95</f>
        <v>0</v>
      </c>
      <c r="F178" s="60">
        <f>IF($C$95&gt;'基準価額'!$C$206,IF($B$95,1,0),0)</f>
        <v>1</v>
      </c>
      <c r="G178" s="299">
        <f>$D$95</f>
        <v>0.04513888888888889</v>
      </c>
      <c r="H178" s="297">
        <v>0.01</v>
      </c>
    </row>
    <row r="179" spans="2:8" ht="13.5">
      <c r="B179" s="51"/>
      <c r="C179" s="140">
        <f>IF(D179,E179/(D179-E179),0)</f>
        <v>-0.0038363423075225395</v>
      </c>
      <c r="D179">
        <f>SUMPRODUCT($B$172:$B$178,$C$172:$C$178,D172:D178,$F$172:$F$178)</f>
        <v>11692636.38505</v>
      </c>
      <c r="E179">
        <f>SUMPRODUCT($B$172:$B$178,$C$172:$C$178,E172:E178,$F$172:$F$178)</f>
        <v>-45029.7050128809</v>
      </c>
      <c r="H179" s="142">
        <f>SUMPRODUCT($B$172:$B$178,$C$172:$C$178,D172:D178,$F$172:$F$178,H172:H178)/D179</f>
        <v>0.0066144690795351645</v>
      </c>
    </row>
    <row r="180" spans="3:5" ht="13.5">
      <c r="C180" t="s">
        <v>755</v>
      </c>
      <c r="D180" t="s">
        <v>240</v>
      </c>
      <c r="E180" t="s">
        <v>241</v>
      </c>
    </row>
    <row r="181" ht="14.25" thickBot="1"/>
    <row r="182" spans="1:7" ht="14.25" thickTop="1">
      <c r="A182" s="274" t="s">
        <v>2033</v>
      </c>
      <c r="B182" s="275" t="s">
        <v>684</v>
      </c>
      <c r="C182" s="275"/>
      <c r="D182" s="275" t="s">
        <v>1785</v>
      </c>
      <c r="E182" s="275" t="s">
        <v>1153</v>
      </c>
      <c r="F182" s="275" t="s">
        <v>1154</v>
      </c>
      <c r="G182" s="395" t="s">
        <v>1155</v>
      </c>
    </row>
    <row r="183" spans="1:7" ht="13.5">
      <c r="A183" s="281" t="str">
        <f>A206</f>
        <v>NatGas</v>
      </c>
      <c r="B183" s="137">
        <f>'DJ-UBSCI指数内訳'!C5</f>
        <v>3117184</v>
      </c>
      <c r="C183" s="12"/>
      <c r="D183" s="102">
        <f aca="true" t="shared" si="7" ref="D183:E201">E76</f>
        <v>4.094</v>
      </c>
      <c r="E183" s="102">
        <f t="shared" si="7"/>
        <v>-0.209</v>
      </c>
      <c r="F183" s="12">
        <f>IF(C76&gt;'基準価額'!$C$238,1,0)</f>
        <v>1</v>
      </c>
      <c r="G183" s="381">
        <f aca="true" t="shared" si="8" ref="G183:G201">D76</f>
        <v>0.030555555555555555</v>
      </c>
    </row>
    <row r="184" spans="1:7" ht="13.5">
      <c r="A184" s="281" t="str">
        <f>A207</f>
        <v>Crude Oil</v>
      </c>
      <c r="B184" s="12">
        <f>'DJ-UBSCI指数内訳'!C6</f>
        <v>77235</v>
      </c>
      <c r="C184" s="12"/>
      <c r="D184" s="102">
        <f t="shared" si="7"/>
        <v>81.94</v>
      </c>
      <c r="E184" s="102">
        <f t="shared" si="7"/>
        <v>-0.99</v>
      </c>
      <c r="F184" s="12">
        <f>IF(C77&gt;'基準価額'!$C$238,1,0)</f>
        <v>1</v>
      </c>
      <c r="G184" s="381">
        <f t="shared" si="8"/>
        <v>0.030555555555555555</v>
      </c>
    </row>
    <row r="185" spans="1:7" ht="13.5">
      <c r="A185" s="281" t="str">
        <f>A208</f>
        <v>Gasoline</v>
      </c>
      <c r="B185" s="12">
        <f>'DJ-UBSCI指数内訳'!C7</f>
        <v>15499</v>
      </c>
      <c r="C185" s="12"/>
      <c r="D185" s="102">
        <f t="shared" si="7"/>
        <v>228.5</v>
      </c>
      <c r="E185" s="102">
        <f t="shared" si="7"/>
        <v>-2.47</v>
      </c>
      <c r="F185" s="12">
        <f>IF(C78&gt;'基準価額'!$C$238,1,0)</f>
        <v>1</v>
      </c>
      <c r="G185" s="381">
        <f t="shared" si="8"/>
        <v>0.030555555555555555</v>
      </c>
    </row>
    <row r="186" spans="1:7" ht="13.5">
      <c r="A186" s="281" t="str">
        <f>A209</f>
        <v>Heating Oil</v>
      </c>
      <c r="B186" s="12">
        <f>'DJ-UBSCI指数内訳'!C8</f>
        <v>27015</v>
      </c>
      <c r="C186" s="12"/>
      <c r="D186" s="102">
        <f t="shared" si="7"/>
        <v>211.05</v>
      </c>
      <c r="E186" s="102">
        <f t="shared" si="7"/>
        <v>-2.9</v>
      </c>
      <c r="F186" s="12">
        <f>IF(C79&gt;'基準価額'!$C$238,1,0)</f>
        <v>1</v>
      </c>
      <c r="G186" s="381">
        <f t="shared" si="8"/>
        <v>0.029861111111111113</v>
      </c>
    </row>
    <row r="187" spans="1:7" ht="13.5">
      <c r="A187" s="385" t="str">
        <f>A214</f>
        <v>Aluminum</v>
      </c>
      <c r="B187" s="387">
        <f>'DJ-UBSCI指数内訳'!C10</f>
        <v>148545</v>
      </c>
      <c r="C187" s="10"/>
      <c r="D187" s="322">
        <f t="shared" si="7"/>
        <v>0</v>
      </c>
      <c r="E187" s="322">
        <f t="shared" si="7"/>
        <v>0</v>
      </c>
      <c r="F187" s="10">
        <f>IF(C80&gt;'基準価額'!$C$238,1,0)</f>
        <v>0</v>
      </c>
      <c r="G187" s="386">
        <f t="shared" si="8"/>
        <v>0</v>
      </c>
    </row>
    <row r="188" spans="1:7" ht="13.5">
      <c r="A188" s="281" t="str">
        <f>A215</f>
        <v>Copper</v>
      </c>
      <c r="B188" s="12">
        <f>'DJ-UBSCI指数内訳'!C11</f>
        <v>29288</v>
      </c>
      <c r="C188" s="12"/>
      <c r="D188" s="102">
        <f t="shared" si="7"/>
        <v>338.3</v>
      </c>
      <c r="E188" s="102">
        <f t="shared" si="7"/>
        <v>-3.5</v>
      </c>
      <c r="F188" s="12">
        <f>IF(C81&gt;'基準価額'!$C$238,1,0)</f>
        <v>1</v>
      </c>
      <c r="G188" s="381">
        <f t="shared" si="8"/>
        <v>0.030555555555555555</v>
      </c>
    </row>
    <row r="189" spans="1:7" ht="13.5">
      <c r="A189" s="281" t="str">
        <f>A216</f>
        <v>Zinc</v>
      </c>
      <c r="B189" s="12">
        <f>'DJ-UBSCI指数内訳'!C12</f>
        <v>44018</v>
      </c>
      <c r="C189" s="12"/>
      <c r="D189" s="102">
        <f t="shared" si="7"/>
        <v>0</v>
      </c>
      <c r="E189" s="102">
        <f t="shared" si="7"/>
        <v>0</v>
      </c>
      <c r="F189" s="12">
        <f>IF(C82&gt;'基準価額'!$C$238,1,0)</f>
        <v>0</v>
      </c>
      <c r="G189" s="381">
        <f t="shared" si="8"/>
        <v>0</v>
      </c>
    </row>
    <row r="190" spans="1:7" ht="13.5">
      <c r="A190" s="383" t="str">
        <f>A217</f>
        <v>Nickel</v>
      </c>
      <c r="B190" s="14">
        <f>'DJ-UBSCI指数内訳'!C13</f>
        <v>16426</v>
      </c>
      <c r="C190" s="14"/>
      <c r="D190" s="323">
        <f t="shared" si="7"/>
        <v>0</v>
      </c>
      <c r="E190" s="323">
        <f t="shared" si="7"/>
        <v>0</v>
      </c>
      <c r="F190" s="14">
        <f>IF(C83&gt;'基準価額'!$C$238,1,0)</f>
        <v>0</v>
      </c>
      <c r="G190" s="384">
        <f t="shared" si="8"/>
        <v>0</v>
      </c>
    </row>
    <row r="191" spans="1:7" ht="13.5">
      <c r="A191" s="385" t="s">
        <v>1119</v>
      </c>
      <c r="B191" s="387">
        <f>'DJ-UBSCI指数内訳'!C15</f>
        <v>90231</v>
      </c>
      <c r="C191" s="10"/>
      <c r="D191" s="322">
        <f t="shared" si="7"/>
        <v>1119.5</v>
      </c>
      <c r="E191" s="322">
        <f t="shared" si="7"/>
        <v>-4.7</v>
      </c>
      <c r="F191" s="10">
        <f>IF(C84&gt;'基準価額'!$C$238,1,0)</f>
        <v>1</v>
      </c>
      <c r="G191" s="386">
        <f t="shared" si="8"/>
        <v>0.03125</v>
      </c>
    </row>
    <row r="192" spans="1:7" ht="13.5">
      <c r="A192" s="383" t="s">
        <v>1120</v>
      </c>
      <c r="B192" s="14">
        <f>'DJ-UBSCI指数内訳'!C16</f>
        <v>23114</v>
      </c>
      <c r="C192" s="14"/>
      <c r="D192" s="323">
        <f t="shared" si="7"/>
        <v>17.39</v>
      </c>
      <c r="E192" s="323">
        <f t="shared" si="7"/>
        <v>-0.133</v>
      </c>
      <c r="F192" s="14">
        <f>IF(C85&gt;'基準価額'!$C$238,1,0)</f>
        <v>1</v>
      </c>
      <c r="G192" s="384">
        <f t="shared" si="8"/>
        <v>0.030555555555555555</v>
      </c>
    </row>
    <row r="193" spans="1:7" ht="13.5">
      <c r="A193" s="385" t="s">
        <v>1122</v>
      </c>
      <c r="B193" s="387">
        <f>'DJ-UBSCI指数内訳'!C18</f>
        <v>80763</v>
      </c>
      <c r="C193" s="10"/>
      <c r="D193" s="322">
        <f t="shared" si="7"/>
        <v>95.15</v>
      </c>
      <c r="E193" s="322">
        <f t="shared" si="7"/>
        <v>1.175</v>
      </c>
      <c r="F193" s="10">
        <f>IF(C86&gt;'基準価額'!$C$238,1,0)</f>
        <v>1</v>
      </c>
      <c r="G193" s="386">
        <f t="shared" si="8"/>
        <v>0.030555555555555555</v>
      </c>
    </row>
    <row r="194" spans="1:7" ht="13.5">
      <c r="A194" s="383" t="s">
        <v>1123</v>
      </c>
      <c r="B194" s="14">
        <f>'DJ-UBSCI指数内訳'!C19</f>
        <v>280499</v>
      </c>
      <c r="C194" s="14"/>
      <c r="D194" s="323">
        <f t="shared" si="7"/>
        <v>82.5</v>
      </c>
      <c r="E194" s="323">
        <f t="shared" si="7"/>
        <v>1.475</v>
      </c>
      <c r="F194" s="14">
        <f>IF(C87&gt;'基準価額'!$C$238,1,0)</f>
        <v>1</v>
      </c>
      <c r="G194" s="384">
        <f t="shared" si="8"/>
        <v>0.030555555555555555</v>
      </c>
    </row>
    <row r="195" spans="1:7" ht="13.5">
      <c r="A195" s="385" t="str">
        <f aca="true" t="shared" si="9" ref="A195:A201">A222</f>
        <v>Wheat</v>
      </c>
      <c r="B195" s="387">
        <f>'DJ-UBSCI指数内訳'!C21</f>
        <v>322260</v>
      </c>
      <c r="C195" s="10"/>
      <c r="D195" s="322">
        <f t="shared" si="7"/>
        <v>486.5</v>
      </c>
      <c r="E195" s="322">
        <f t="shared" si="7"/>
        <v>-9.5</v>
      </c>
      <c r="F195" s="10">
        <f>IF(C88&gt;'基準価額'!$C$238,1,0)</f>
        <v>1</v>
      </c>
      <c r="G195" s="386">
        <f t="shared" si="8"/>
        <v>0.03125</v>
      </c>
    </row>
    <row r="196" spans="1:7" ht="13.5">
      <c r="A196" s="281" t="str">
        <f t="shared" si="9"/>
        <v>Corn</v>
      </c>
      <c r="B196" s="12">
        <f>'DJ-UBSCI指数内訳'!C22</f>
        <v>700419</v>
      </c>
      <c r="C196" s="12"/>
      <c r="D196" s="102">
        <f t="shared" si="7"/>
        <v>371</v>
      </c>
      <c r="E196" s="102">
        <f t="shared" si="7"/>
        <v>-3</v>
      </c>
      <c r="F196" s="12">
        <f>IF(C89&gt;'基準価額'!$C$238,1,0)</f>
        <v>1</v>
      </c>
      <c r="G196" s="381">
        <f t="shared" si="8"/>
        <v>0.030555555555555555</v>
      </c>
    </row>
    <row r="197" spans="1:7" ht="13.5">
      <c r="A197" s="383" t="str">
        <f t="shared" si="9"/>
        <v>Soybeans</v>
      </c>
      <c r="B197" s="14">
        <f>'DJ-UBSCI指数内訳'!C23</f>
        <v>73528</v>
      </c>
      <c r="C197" s="14"/>
      <c r="D197" s="323">
        <f t="shared" si="7"/>
        <v>956.5</v>
      </c>
      <c r="E197" s="323">
        <f t="shared" si="7"/>
        <v>-2.5</v>
      </c>
      <c r="F197" s="14">
        <f>IF(C90&gt;'基準価額'!$C$238,1,0)</f>
        <v>1</v>
      </c>
      <c r="G197" s="384">
        <f t="shared" si="8"/>
        <v>0.030555555555555555</v>
      </c>
    </row>
    <row r="198" spans="1:7" ht="13.5">
      <c r="A198" s="281" t="str">
        <f t="shared" si="9"/>
        <v>Sugar</v>
      </c>
      <c r="B198" s="137">
        <f>'DJ-UBSCI指数内訳'!C25</f>
        <v>19001</v>
      </c>
      <c r="C198" s="12"/>
      <c r="D198" s="102">
        <f t="shared" si="7"/>
        <v>18.75</v>
      </c>
      <c r="E198" s="102">
        <f t="shared" si="7"/>
        <v>0.42</v>
      </c>
      <c r="F198" s="12">
        <f>IF(C91&gt;'基準価額'!$C$238,1,0)</f>
        <v>1</v>
      </c>
      <c r="G198" s="381">
        <f t="shared" si="8"/>
        <v>0.029861111111111113</v>
      </c>
    </row>
    <row r="199" spans="1:7" ht="13.5">
      <c r="A199" s="281" t="str">
        <f t="shared" si="9"/>
        <v>Cotton</v>
      </c>
      <c r="B199" s="12">
        <f>'DJ-UBSCI指数内訳'!C26</f>
        <v>172066</v>
      </c>
      <c r="C199" s="12"/>
      <c r="D199" s="102">
        <f t="shared" si="7"/>
        <v>82.13</v>
      </c>
      <c r="E199" s="102">
        <f t="shared" si="7"/>
        <v>0.96</v>
      </c>
      <c r="F199" s="12">
        <f>IF(C92&gt;'基準価額'!$C$238,1,0)</f>
        <v>1</v>
      </c>
      <c r="G199" s="381">
        <f t="shared" si="8"/>
        <v>0.030555555555555555</v>
      </c>
    </row>
    <row r="200" spans="1:7" ht="13.5">
      <c r="A200" s="281" t="str">
        <f t="shared" si="9"/>
        <v>Coffee</v>
      </c>
      <c r="B200" s="12">
        <f>'DJ-UBSCI指数内訳'!C27</f>
        <v>140161</v>
      </c>
      <c r="C200" s="12"/>
      <c r="D200" s="102">
        <f t="shared" si="7"/>
        <v>135.7</v>
      </c>
      <c r="E200" s="102">
        <f t="shared" si="7"/>
        <v>2.1</v>
      </c>
      <c r="F200" s="12">
        <f>IF(C93&gt;'基準価額'!$C$238,1,0)</f>
        <v>1</v>
      </c>
      <c r="G200" s="381">
        <f t="shared" si="8"/>
        <v>0.030555555555555555</v>
      </c>
    </row>
    <row r="201" spans="1:7" ht="14.25" thickBot="1">
      <c r="A201" s="283" t="str">
        <f t="shared" si="9"/>
        <v>Soybean Oil</v>
      </c>
      <c r="B201" s="388">
        <f>'DJ-UBSCI指数内訳'!C29</f>
        <v>63212</v>
      </c>
      <c r="C201" s="284"/>
      <c r="D201" s="293">
        <f t="shared" si="7"/>
        <v>39.32</v>
      </c>
      <c r="E201" s="293">
        <f t="shared" si="7"/>
        <v>-0.51</v>
      </c>
      <c r="F201" s="284">
        <f>IF(C94&gt;'基準価額'!$C$238,1,0)</f>
        <v>1</v>
      </c>
      <c r="G201" s="382">
        <f t="shared" si="8"/>
        <v>0.030555555555555555</v>
      </c>
    </row>
    <row r="202" spans="3:5" ht="14.25" thickTop="1">
      <c r="C202" s="140">
        <f>IF(D202,E202/(D202-E202),0)</f>
        <v>-0.008261946419349206</v>
      </c>
      <c r="D202">
        <f>SUMPRODUCT($B183:$B201,D183:D201,$F183:$F201)</f>
        <v>693440742.6260002</v>
      </c>
      <c r="E202">
        <f>SUMPRODUCT($B183:$B201,E183:E201,$F183:$F201)</f>
        <v>-5776898.688000001</v>
      </c>
    </row>
    <row r="203" ht="13.5">
      <c r="C203" s="140"/>
    </row>
    <row r="205" spans="1:7" ht="13.5">
      <c r="A205" s="9" t="s">
        <v>1034</v>
      </c>
      <c r="B205" s="10" t="s">
        <v>684</v>
      </c>
      <c r="C205" s="10"/>
      <c r="D205" s="10" t="s">
        <v>1785</v>
      </c>
      <c r="E205" s="10" t="s">
        <v>1153</v>
      </c>
      <c r="F205" s="10" t="s">
        <v>1154</v>
      </c>
      <c r="G205" s="317" t="s">
        <v>1155</v>
      </c>
    </row>
    <row r="206" spans="1:7" ht="13.5">
      <c r="A206" s="11" t="s">
        <v>1107</v>
      </c>
      <c r="B206" s="137">
        <f>'DJ-UBSCI指数内訳'!F5</f>
        <v>8801469</v>
      </c>
      <c r="C206" s="12"/>
      <c r="D206" s="102">
        <f aca="true" t="shared" si="10" ref="D206:G207">D183</f>
        <v>4.094</v>
      </c>
      <c r="E206" s="102">
        <f t="shared" si="10"/>
        <v>-0.209</v>
      </c>
      <c r="F206" s="12">
        <f t="shared" si="10"/>
        <v>1</v>
      </c>
      <c r="G206" s="298">
        <f t="shared" si="10"/>
        <v>0.030555555555555555</v>
      </c>
    </row>
    <row r="207" spans="1:7" ht="13.5">
      <c r="A207" s="11" t="s">
        <v>1109</v>
      </c>
      <c r="B207" s="137">
        <f>'DJ-UBSCI指数内訳'!F6</f>
        <v>220299</v>
      </c>
      <c r="C207" s="12"/>
      <c r="D207" s="102">
        <f t="shared" si="10"/>
        <v>81.94</v>
      </c>
      <c r="E207" s="102">
        <f t="shared" si="10"/>
        <v>-0.99</v>
      </c>
      <c r="F207" s="12">
        <f t="shared" si="10"/>
        <v>1</v>
      </c>
      <c r="G207" s="298">
        <f t="shared" si="10"/>
        <v>0.030555555555555555</v>
      </c>
    </row>
    <row r="208" spans="1:7" ht="13.5">
      <c r="A208" s="11" t="s">
        <v>1110</v>
      </c>
      <c r="B208" s="137">
        <f>'DJ-UBSCI指数内訳'!F7</f>
        <v>44315</v>
      </c>
      <c r="C208" s="12"/>
      <c r="D208" s="102">
        <f aca="true" t="shared" si="11" ref="D208:G209">D185</f>
        <v>228.5</v>
      </c>
      <c r="E208" s="102">
        <f t="shared" si="11"/>
        <v>-2.47</v>
      </c>
      <c r="F208" s="12">
        <f t="shared" si="11"/>
        <v>1</v>
      </c>
      <c r="G208" s="298">
        <f t="shared" si="11"/>
        <v>0.030555555555555555</v>
      </c>
    </row>
    <row r="209" spans="1:7" ht="13.5">
      <c r="A209" s="13" t="s">
        <v>1111</v>
      </c>
      <c r="B209" s="138">
        <f>'DJ-UBSCI指数内訳'!F8</f>
        <v>77226</v>
      </c>
      <c r="C209" s="14"/>
      <c r="D209" s="323">
        <f t="shared" si="11"/>
        <v>211.05</v>
      </c>
      <c r="E209" s="323">
        <f t="shared" si="11"/>
        <v>-2.9</v>
      </c>
      <c r="F209" s="14">
        <f t="shared" si="11"/>
        <v>1</v>
      </c>
      <c r="G209" s="299">
        <f t="shared" si="11"/>
        <v>0.029861111111111113</v>
      </c>
    </row>
    <row r="210" spans="3:5" ht="13.5">
      <c r="C210" s="140">
        <f>IF(D210,E210/(D210-E210),0)</f>
        <v>-0.028842157808995402</v>
      </c>
      <c r="D210">
        <f>SUMPRODUCT($B206:$B209,D206:D209,$F206:$F209)</f>
        <v>80509038.946</v>
      </c>
      <c r="E210">
        <f>SUMPRODUCT($B206:$B209,E206:E209,$F206:$F209)</f>
        <v>-2391016.4809999997</v>
      </c>
    </row>
    <row r="211" ht="13.5">
      <c r="C211" s="140"/>
    </row>
    <row r="213" spans="1:7" ht="13.5">
      <c r="A213" s="9" t="s">
        <v>691</v>
      </c>
      <c r="B213" s="10" t="s">
        <v>684</v>
      </c>
      <c r="C213" s="10"/>
      <c r="D213" s="10" t="s">
        <v>1785</v>
      </c>
      <c r="E213" s="10" t="s">
        <v>1153</v>
      </c>
      <c r="F213" s="10" t="s">
        <v>1154</v>
      </c>
      <c r="G213" s="317" t="s">
        <v>1155</v>
      </c>
    </row>
    <row r="214" spans="1:7" ht="13.5">
      <c r="A214" s="11" t="s">
        <v>1114</v>
      </c>
      <c r="B214" s="137">
        <f>'DJ-UBSCI指数内訳'!I10</f>
        <v>961953</v>
      </c>
      <c r="C214" s="12"/>
      <c r="D214" s="332">
        <f aca="true" t="shared" si="12" ref="D214:G215">D187</f>
        <v>0</v>
      </c>
      <c r="E214" s="332">
        <f t="shared" si="12"/>
        <v>0</v>
      </c>
      <c r="F214" s="12">
        <f t="shared" si="12"/>
        <v>0</v>
      </c>
      <c r="G214" s="298">
        <f t="shared" si="12"/>
        <v>0</v>
      </c>
    </row>
    <row r="215" spans="1:7" ht="13.5">
      <c r="A215" s="11" t="s">
        <v>1115</v>
      </c>
      <c r="B215" s="137">
        <f>'DJ-UBSCI指数内訳'!I11</f>
        <v>189901</v>
      </c>
      <c r="C215" s="12"/>
      <c r="D215" s="332">
        <f t="shared" si="12"/>
        <v>338.3</v>
      </c>
      <c r="E215" s="332">
        <f t="shared" si="12"/>
        <v>-3.5</v>
      </c>
      <c r="F215" s="12">
        <f t="shared" si="12"/>
        <v>1</v>
      </c>
      <c r="G215" s="298">
        <f t="shared" si="12"/>
        <v>0.030555555555555555</v>
      </c>
    </row>
    <row r="216" spans="1:7" ht="13.5">
      <c r="A216" s="11" t="s">
        <v>1116</v>
      </c>
      <c r="B216" s="137">
        <f>'DJ-UBSCI指数内訳'!I12</f>
        <v>285413</v>
      </c>
      <c r="C216" s="12"/>
      <c r="D216" s="332">
        <f aca="true" t="shared" si="13" ref="D216:G217">D189</f>
        <v>0</v>
      </c>
      <c r="E216" s="332">
        <f t="shared" si="13"/>
        <v>0</v>
      </c>
      <c r="F216" s="12">
        <f t="shared" si="13"/>
        <v>0</v>
      </c>
      <c r="G216" s="298">
        <f t="shared" si="13"/>
        <v>0</v>
      </c>
    </row>
    <row r="217" spans="1:7" ht="13.5">
      <c r="A217" s="13" t="s">
        <v>1117</v>
      </c>
      <c r="B217" s="138">
        <f>'DJ-UBSCI指数内訳'!I13</f>
        <v>106570</v>
      </c>
      <c r="C217" s="14"/>
      <c r="D217" s="380">
        <f t="shared" si="13"/>
        <v>0</v>
      </c>
      <c r="E217" s="380">
        <f t="shared" si="13"/>
        <v>0</v>
      </c>
      <c r="F217" s="14">
        <f t="shared" si="13"/>
        <v>0</v>
      </c>
      <c r="G217" s="299">
        <f t="shared" si="13"/>
        <v>0</v>
      </c>
    </row>
    <row r="218" spans="3:5" ht="13.5">
      <c r="C218" s="140">
        <f>IF(D218,E218/(D218-E218),0)</f>
        <v>-0.010239906377998828</v>
      </c>
      <c r="D218">
        <f>SUMPRODUCT($B214:$B217,D214:D217,$F214:$F217)</f>
        <v>64243508.300000004</v>
      </c>
      <c r="E218">
        <f>SUMPRODUCT($B214:$B217,E214:E217,$F214:$F217)</f>
        <v>-664653.5</v>
      </c>
    </row>
    <row r="221" spans="1:7" ht="13.5">
      <c r="A221" s="9" t="s">
        <v>686</v>
      </c>
      <c r="B221" s="10" t="s">
        <v>684</v>
      </c>
      <c r="C221" s="10"/>
      <c r="D221" s="10" t="s">
        <v>1785</v>
      </c>
      <c r="E221" s="10" t="s">
        <v>1153</v>
      </c>
      <c r="F221" s="10" t="s">
        <v>1154</v>
      </c>
      <c r="G221" s="317" t="s">
        <v>1155</v>
      </c>
    </row>
    <row r="222" spans="1:7" ht="13.5">
      <c r="A222" s="11" t="s">
        <v>1126</v>
      </c>
      <c r="B222" s="137">
        <f>'DJ-UBSCI指数内訳'!I21</f>
        <v>508501</v>
      </c>
      <c r="C222" s="12"/>
      <c r="D222" s="332">
        <f aca="true" t="shared" si="14" ref="D222:G226">D195</f>
        <v>486.5</v>
      </c>
      <c r="E222" s="332">
        <f t="shared" si="14"/>
        <v>-9.5</v>
      </c>
      <c r="F222" s="12">
        <f t="shared" si="14"/>
        <v>1</v>
      </c>
      <c r="G222" s="298">
        <f t="shared" si="14"/>
        <v>0.03125</v>
      </c>
    </row>
    <row r="223" spans="1:7" ht="13.5">
      <c r="A223" s="11" t="s">
        <v>1127</v>
      </c>
      <c r="B223" s="137">
        <f>'DJ-UBSCI指数内訳'!I22</f>
        <v>1008005</v>
      </c>
      <c r="C223" s="12"/>
      <c r="D223" s="332">
        <f t="shared" si="14"/>
        <v>371</v>
      </c>
      <c r="E223" s="332">
        <f t="shared" si="14"/>
        <v>-3</v>
      </c>
      <c r="F223" s="12">
        <f t="shared" si="14"/>
        <v>1</v>
      </c>
      <c r="G223" s="298">
        <f t="shared" si="14"/>
        <v>0.030555555555555555</v>
      </c>
    </row>
    <row r="224" spans="1:7" ht="13.5">
      <c r="A224" s="11" t="s">
        <v>1128</v>
      </c>
      <c r="B224" s="137">
        <f>'DJ-UBSCI指数内訳'!I23</f>
        <v>108890</v>
      </c>
      <c r="C224" s="12"/>
      <c r="D224" s="332">
        <f t="shared" si="14"/>
        <v>956.5</v>
      </c>
      <c r="E224" s="332">
        <f t="shared" si="14"/>
        <v>-2.5</v>
      </c>
      <c r="F224" s="12">
        <f t="shared" si="14"/>
        <v>1</v>
      </c>
      <c r="G224" s="298">
        <f t="shared" si="14"/>
        <v>0.030555555555555555</v>
      </c>
    </row>
    <row r="225" spans="1:7" ht="13.5">
      <c r="A225" s="11" t="s">
        <v>1130</v>
      </c>
      <c r="B225" s="137">
        <f>'DJ-UBSCI指数内訳'!I25</f>
        <v>28192</v>
      </c>
      <c r="C225" s="12"/>
      <c r="D225" s="332">
        <f t="shared" si="14"/>
        <v>18.75</v>
      </c>
      <c r="E225" s="332">
        <f t="shared" si="14"/>
        <v>0.42</v>
      </c>
      <c r="F225" s="12">
        <f t="shared" si="14"/>
        <v>1</v>
      </c>
      <c r="G225" s="298">
        <f t="shared" si="14"/>
        <v>0.029861111111111113</v>
      </c>
    </row>
    <row r="226" spans="1:7" ht="13.5">
      <c r="A226" s="11" t="s">
        <v>1131</v>
      </c>
      <c r="B226" s="137">
        <f>'DJ-UBSCI指数内訳'!I26</f>
        <v>255266</v>
      </c>
      <c r="C226" s="12"/>
      <c r="D226" s="332">
        <f t="shared" si="14"/>
        <v>82.13</v>
      </c>
      <c r="E226" s="332">
        <f t="shared" si="14"/>
        <v>0.96</v>
      </c>
      <c r="F226" s="12">
        <f t="shared" si="14"/>
        <v>1</v>
      </c>
      <c r="G226" s="298">
        <f t="shared" si="14"/>
        <v>0.030555555555555555</v>
      </c>
    </row>
    <row r="227" spans="1:7" ht="13.5">
      <c r="A227" s="11" t="s">
        <v>1132</v>
      </c>
      <c r="B227" s="137">
        <f>'DJ-UBSCI指数内訳'!I27</f>
        <v>207932</v>
      </c>
      <c r="C227" s="12"/>
      <c r="D227" s="332">
        <f aca="true" t="shared" si="15" ref="D227:G228">D200</f>
        <v>135.7</v>
      </c>
      <c r="E227" s="332">
        <f t="shared" si="15"/>
        <v>2.1</v>
      </c>
      <c r="F227" s="12">
        <f t="shared" si="15"/>
        <v>1</v>
      </c>
      <c r="G227" s="298">
        <f t="shared" si="15"/>
        <v>0.030555555555555555</v>
      </c>
    </row>
    <row r="228" spans="1:7" ht="13.5">
      <c r="A228" s="13" t="s">
        <v>1133</v>
      </c>
      <c r="B228" s="138">
        <f>'DJ-UBSCI指数内訳'!I29</f>
        <v>94911</v>
      </c>
      <c r="C228" s="14"/>
      <c r="D228" s="380">
        <f t="shared" si="15"/>
        <v>39.32</v>
      </c>
      <c r="E228" s="380">
        <f t="shared" si="15"/>
        <v>-0.51</v>
      </c>
      <c r="F228" s="14">
        <f t="shared" si="15"/>
        <v>1</v>
      </c>
      <c r="G228" s="299">
        <f t="shared" si="15"/>
        <v>0.030555555555555555</v>
      </c>
    </row>
    <row r="229" spans="3:5" ht="13.5">
      <c r="C229" s="140">
        <f>IF(D229,E229/(D229-E229),0)</f>
        <v>-0.009513658181765614</v>
      </c>
      <c r="D229">
        <f>SUMPRODUCT($B222:$B228,D222:D228,$F222:$F228)</f>
        <v>778950746</v>
      </c>
      <c r="E229">
        <f>SUMPRODUCT($B222:$B228,E222:E228,$F222:$F228)</f>
        <v>-7481850.91</v>
      </c>
    </row>
    <row r="230" ht="13.5">
      <c r="C230" s="140"/>
    </row>
    <row r="231" ht="13.5">
      <c r="C231" s="140"/>
    </row>
    <row r="232" spans="1:7" ht="13.5">
      <c r="A232" s="9" t="s">
        <v>683</v>
      </c>
      <c r="B232" s="10" t="s">
        <v>684</v>
      </c>
      <c r="C232" s="10"/>
      <c r="D232" s="10" t="s">
        <v>1785</v>
      </c>
      <c r="E232" s="10" t="s">
        <v>1153</v>
      </c>
      <c r="F232" s="10" t="s">
        <v>1154</v>
      </c>
      <c r="G232" s="317" t="s">
        <v>1155</v>
      </c>
    </row>
    <row r="233" spans="1:7" ht="13.5">
      <c r="A233" s="11" t="s">
        <v>1126</v>
      </c>
      <c r="B233" s="137">
        <f>'DJ-UBSCI指数内訳'!L21</f>
        <v>586042</v>
      </c>
      <c r="C233" s="12"/>
      <c r="D233" s="332">
        <f aca="true" t="shared" si="16" ref="D233:G235">D195</f>
        <v>486.5</v>
      </c>
      <c r="E233" s="332">
        <f t="shared" si="16"/>
        <v>-9.5</v>
      </c>
      <c r="F233" s="12">
        <f t="shared" si="16"/>
        <v>1</v>
      </c>
      <c r="G233" s="298">
        <f t="shared" si="16"/>
        <v>0.03125</v>
      </c>
    </row>
    <row r="234" spans="1:7" ht="13.5">
      <c r="A234" s="11" t="s">
        <v>1127</v>
      </c>
      <c r="B234" s="137">
        <f>'DJ-UBSCI指数内訳'!L22</f>
        <v>1199849</v>
      </c>
      <c r="C234" s="12"/>
      <c r="D234" s="332">
        <f t="shared" si="16"/>
        <v>371</v>
      </c>
      <c r="E234" s="332">
        <f t="shared" si="16"/>
        <v>-3</v>
      </c>
      <c r="F234" s="12">
        <f t="shared" si="16"/>
        <v>1</v>
      </c>
      <c r="G234" s="298">
        <f t="shared" si="16"/>
        <v>0.030555555555555555</v>
      </c>
    </row>
    <row r="235" spans="1:7" ht="13.5">
      <c r="A235" s="13" t="s">
        <v>1128</v>
      </c>
      <c r="B235" s="138">
        <f>'DJ-UBSCI指数内訳'!L23</f>
        <v>128127</v>
      </c>
      <c r="C235" s="14"/>
      <c r="D235" s="380">
        <f t="shared" si="16"/>
        <v>956.5</v>
      </c>
      <c r="E235" s="380">
        <f t="shared" si="16"/>
        <v>-2.5</v>
      </c>
      <c r="F235" s="14">
        <f t="shared" si="16"/>
        <v>1</v>
      </c>
      <c r="G235" s="299">
        <f t="shared" si="16"/>
        <v>0.030555555555555555</v>
      </c>
    </row>
    <row r="236" spans="3:5" ht="13.5">
      <c r="C236" s="140">
        <f>IF(D236,E236/(D236-E236),0)</f>
        <v>-0.011002351678945808</v>
      </c>
      <c r="D236">
        <f>SUMPRODUCT($B233:$B235,D233:D235,$F233:$F235)</f>
        <v>852806887.5</v>
      </c>
      <c r="E236">
        <f>SUMPRODUCT($B233:$B235,E233:E235,$F233:$F235)</f>
        <v>-9487263.5</v>
      </c>
    </row>
  </sheetData>
  <printOptions/>
  <pageMargins left="0.75" right="0.75" top="1" bottom="1" header="0.512" footer="0.512"/>
  <pageSetup orientation="portrait" paperSize="9"/>
  <legacyDrawing r:id="rId2"/>
</worksheet>
</file>

<file path=xl/worksheets/sheet7.xml><?xml version="1.0" encoding="utf-8"?>
<worksheet xmlns="http://schemas.openxmlformats.org/spreadsheetml/2006/main" xmlns:r="http://schemas.openxmlformats.org/officeDocument/2006/relationships">
  <sheetPr codeName="Sheet4"/>
  <dimension ref="A1:AE254"/>
  <sheetViews>
    <sheetView zoomScale="70" zoomScaleNormal="70" workbookViewId="0" topLeftCell="A1">
      <selection activeCell="A1" sqref="A1"/>
    </sheetView>
  </sheetViews>
  <sheetFormatPr defaultColWidth="9.00390625" defaultRowHeight="13.5"/>
  <cols>
    <col min="2" max="2" width="43.50390625" style="0" customWidth="1"/>
    <col min="3" max="3" width="10.75390625" style="0" bestFit="1" customWidth="1"/>
    <col min="4" max="4" width="15.875" style="0" bestFit="1" customWidth="1"/>
    <col min="5" max="5" width="13.50390625" style="0" bestFit="1" customWidth="1"/>
    <col min="6" max="6" width="12.375" style="0" bestFit="1" customWidth="1"/>
    <col min="7" max="7" width="13.625" style="0" customWidth="1"/>
    <col min="8" max="8" width="13.25390625" style="0" customWidth="1"/>
    <col min="9" max="9" width="12.75390625" style="0" bestFit="1" customWidth="1"/>
    <col min="10" max="10" width="11.00390625" style="0" customWidth="1"/>
    <col min="11" max="11" width="11.125" style="0" bestFit="1" customWidth="1"/>
    <col min="12" max="12" width="9.125" style="51" bestFit="1" customWidth="1"/>
    <col min="13" max="13" width="4.25390625" style="179" customWidth="1"/>
    <col min="14" max="14" width="3.50390625" style="179" customWidth="1"/>
    <col min="15" max="15" width="14.875" style="188" bestFit="1" customWidth="1"/>
    <col min="16" max="16" width="9.625" style="0" bestFit="1" customWidth="1"/>
    <col min="19" max="19" width="11.125" style="0" bestFit="1" customWidth="1"/>
    <col min="20" max="20" width="9.125" style="0" bestFit="1" customWidth="1"/>
    <col min="21" max="21" width="9.125" style="51" bestFit="1" customWidth="1"/>
    <col min="22" max="22" width="12.00390625" style="0" customWidth="1"/>
    <col min="23" max="23" width="9.50390625" style="0" bestFit="1" customWidth="1"/>
    <col min="24" max="24" width="9.125" style="0" bestFit="1" customWidth="1"/>
  </cols>
  <sheetData>
    <row r="1" spans="13:15" ht="13.5">
      <c r="M1" s="179" t="s">
        <v>740</v>
      </c>
      <c r="O1" t="s">
        <v>742</v>
      </c>
    </row>
    <row r="2" spans="2:31" ht="13.5">
      <c r="B2" t="s">
        <v>2025</v>
      </c>
      <c r="C2" t="s">
        <v>57</v>
      </c>
      <c r="D2" t="s">
        <v>28</v>
      </c>
      <c r="E2" t="s">
        <v>2041</v>
      </c>
      <c r="F2" t="s">
        <v>51</v>
      </c>
      <c r="G2" t="s">
        <v>839</v>
      </c>
      <c r="H2" t="s">
        <v>1645</v>
      </c>
      <c r="I2" t="s">
        <v>1018</v>
      </c>
      <c r="J2" t="s">
        <v>1524</v>
      </c>
      <c r="K2" s="1" t="s">
        <v>1930</v>
      </c>
      <c r="L2" s="51" t="s">
        <v>1931</v>
      </c>
      <c r="M2" s="179" t="s">
        <v>62</v>
      </c>
      <c r="O2" s="188" t="s">
        <v>741</v>
      </c>
      <c r="Q2" t="s">
        <v>1646</v>
      </c>
      <c r="R2" s="37" t="str">
        <f>HYPERLINK("http://nextfunds.jp/lineup/index.html#kaigai-stock","NEXT FUNDS")</f>
        <v>NEXT FUNDS</v>
      </c>
      <c r="S2" t="s">
        <v>1920</v>
      </c>
      <c r="T2" t="s">
        <v>64</v>
      </c>
      <c r="U2" s="51" t="s">
        <v>853</v>
      </c>
      <c r="V2" s="51" t="s">
        <v>854</v>
      </c>
      <c r="W2" s="51" t="s">
        <v>855</v>
      </c>
      <c r="X2" t="s">
        <v>857</v>
      </c>
      <c r="Y2" t="s">
        <v>340</v>
      </c>
      <c r="Z2" t="s">
        <v>155</v>
      </c>
      <c r="AA2" t="s">
        <v>1665</v>
      </c>
      <c r="AE2" t="s">
        <v>838</v>
      </c>
    </row>
    <row r="3" spans="1:31" ht="14.25">
      <c r="A3" t="s">
        <v>24</v>
      </c>
      <c r="B3" s="9" t="s">
        <v>814</v>
      </c>
      <c r="C3" s="10">
        <v>1321</v>
      </c>
      <c r="D3" s="15">
        <v>40254</v>
      </c>
      <c r="E3" s="18">
        <v>109450</v>
      </c>
      <c r="F3" s="24">
        <v>1252</v>
      </c>
      <c r="G3" s="192">
        <v>550040000000</v>
      </c>
      <c r="H3" s="192">
        <v>549044000000</v>
      </c>
      <c r="I3" s="81"/>
      <c r="J3" s="184">
        <v>40254</v>
      </c>
      <c r="K3" s="185">
        <v>5</v>
      </c>
      <c r="L3" s="200">
        <v>1</v>
      </c>
      <c r="M3" s="180"/>
      <c r="N3" s="180"/>
      <c r="O3" s="191">
        <f>365*K3/L3/(E3-IF(D3=J3,0,F3))*10</f>
        <v>0.1667428049337597</v>
      </c>
      <c r="P3" s="37"/>
      <c r="Q3" s="37" t="s">
        <v>1648</v>
      </c>
      <c r="R3" s="34" t="str">
        <f aca="true" t="shared" si="0" ref="R3:R26">HYPERLINK("http://company.nikkei.co.jp/disclose/disclose.aspx?scode="&amp;C3,"開示")</f>
        <v>開示</v>
      </c>
      <c r="S3" s="178">
        <v>40367</v>
      </c>
      <c r="T3" s="2">
        <v>0.00231</v>
      </c>
      <c r="U3" s="51">
        <v>10</v>
      </c>
      <c r="V3" s="219">
        <f>(G3/E3-H3/(E3-F3))*U3</f>
        <v>-489465.1330858376</v>
      </c>
      <c r="W3">
        <v>24500</v>
      </c>
      <c r="X3">
        <f>ROUND(V3/W3,0)</f>
        <v>-20</v>
      </c>
      <c r="Y3" t="s">
        <v>1813</v>
      </c>
      <c r="Z3" t="s">
        <v>246</v>
      </c>
      <c r="AE3" t="str">
        <f>MID(Z3,36,8)</f>
        <v>01311017</v>
      </c>
    </row>
    <row r="4" spans="2:31" ht="14.25">
      <c r="B4" s="11" t="s">
        <v>815</v>
      </c>
      <c r="C4" s="12">
        <v>1306</v>
      </c>
      <c r="D4" s="16">
        <v>40254</v>
      </c>
      <c r="E4" s="19">
        <v>96206</v>
      </c>
      <c r="F4" s="25">
        <v>944</v>
      </c>
      <c r="G4" s="193">
        <v>574424000000</v>
      </c>
      <c r="H4" s="193">
        <v>568788000000</v>
      </c>
      <c r="I4" s="82"/>
      <c r="J4" s="184"/>
      <c r="K4" s="185"/>
      <c r="L4" s="200"/>
      <c r="O4" s="191" t="e">
        <f>365*K4/L4/(E4-IF(D4=J4,0,F4))*100</f>
        <v>#DIV/0!</v>
      </c>
      <c r="P4" s="37" t="str">
        <f aca="true" t="shared" si="1" ref="P4:P27">HYPERLINK("http://www.jsf.co.jp/de/stock/data.php?target=balance&amp;div=%93%8C%8F%D8&amp;code="&amp;C4,"日証金")</f>
        <v>日証金</v>
      </c>
      <c r="Q4" s="37"/>
      <c r="R4" s="34" t="str">
        <f t="shared" si="0"/>
        <v>開示</v>
      </c>
      <c r="S4" s="178">
        <v>40369</v>
      </c>
      <c r="T4" s="2">
        <v>0.001155</v>
      </c>
      <c r="U4" s="51">
        <v>100</v>
      </c>
      <c r="V4" s="219">
        <f>(G4/E4-H4/(E4-F4))*U4</f>
        <v>-428.1610387377441</v>
      </c>
      <c r="W4">
        <v>2000000</v>
      </c>
      <c r="X4">
        <f aca="true" t="shared" si="2" ref="X4:X28">ROUND(V4/W4,0)</f>
        <v>0</v>
      </c>
      <c r="Y4" t="s">
        <v>1763</v>
      </c>
      <c r="Z4" t="s">
        <v>247</v>
      </c>
      <c r="AE4" t="str">
        <f aca="true" t="shared" si="3" ref="AE4:AE27">MID(Z4,36,8)</f>
        <v>01312017</v>
      </c>
    </row>
    <row r="5" spans="2:31" ht="14.25">
      <c r="B5" s="11" t="s">
        <v>816</v>
      </c>
      <c r="C5" s="12">
        <v>1311</v>
      </c>
      <c r="D5" s="16">
        <v>40254</v>
      </c>
      <c r="E5" s="19">
        <v>54479</v>
      </c>
      <c r="F5" s="25">
        <v>468</v>
      </c>
      <c r="G5" s="193">
        <v>17118000000</v>
      </c>
      <c r="H5" s="193">
        <v>16971000000</v>
      </c>
      <c r="I5" s="82"/>
      <c r="J5" s="184"/>
      <c r="K5" s="185"/>
      <c r="L5" s="200"/>
      <c r="O5" s="191" t="e">
        <f>365*K5/L5/(E5-IF(D5=J5,0,F5))*100</f>
        <v>#DIV/0!</v>
      </c>
      <c r="P5" s="37" t="str">
        <f t="shared" si="1"/>
        <v>日証金</v>
      </c>
      <c r="Q5" s="37"/>
      <c r="R5" s="34" t="str">
        <f t="shared" si="0"/>
        <v>開示</v>
      </c>
      <c r="S5" s="178">
        <v>40374</v>
      </c>
      <c r="T5" s="2">
        <v>0.00231</v>
      </c>
      <c r="U5" s="51">
        <v>100</v>
      </c>
      <c r="V5" s="219">
        <f aca="true" t="shared" si="4" ref="V5:V27">(G5/E5-H5/(E5-F5))*U5</f>
        <v>-95.53213863400742</v>
      </c>
      <c r="W5">
        <v>1000000</v>
      </c>
      <c r="X5">
        <f t="shared" si="2"/>
        <v>0</v>
      </c>
      <c r="Y5" t="s">
        <v>1812</v>
      </c>
      <c r="Z5" t="s">
        <v>248</v>
      </c>
      <c r="AE5" t="str">
        <f t="shared" si="3"/>
        <v>01312024</v>
      </c>
    </row>
    <row r="6" spans="2:31" ht="14.25">
      <c r="B6" s="11" t="s">
        <v>817</v>
      </c>
      <c r="C6" s="12">
        <v>1613</v>
      </c>
      <c r="D6" s="16">
        <v>40254</v>
      </c>
      <c r="E6" s="19">
        <v>138125</v>
      </c>
      <c r="F6" s="25">
        <v>2107</v>
      </c>
      <c r="G6" s="193">
        <v>1576000000</v>
      </c>
      <c r="H6" s="193">
        <v>1552000000</v>
      </c>
      <c r="I6" s="82"/>
      <c r="J6" s="184"/>
      <c r="K6" s="185"/>
      <c r="L6" s="200"/>
      <c r="O6" s="191" t="e">
        <f>365*K6/L6/(E6-IF(D6=J6,0,F6))*100</f>
        <v>#DIV/0!</v>
      </c>
      <c r="P6" s="37" t="str">
        <f t="shared" si="1"/>
        <v>日証金</v>
      </c>
      <c r="Q6" s="37"/>
      <c r="R6" s="34" t="str">
        <f t="shared" si="0"/>
        <v>開示</v>
      </c>
      <c r="S6" s="178">
        <v>40374</v>
      </c>
      <c r="T6" s="2">
        <v>0.00231</v>
      </c>
      <c r="U6" s="51">
        <v>100</v>
      </c>
      <c r="V6" s="219">
        <f t="shared" si="4"/>
        <v>-29.977400515781483</v>
      </c>
      <c r="W6">
        <v>1000000</v>
      </c>
      <c r="X6">
        <f t="shared" si="2"/>
        <v>0</v>
      </c>
      <c r="Y6" t="s">
        <v>1774</v>
      </c>
      <c r="Z6" t="s">
        <v>249</v>
      </c>
      <c r="AE6" t="str">
        <f t="shared" si="3"/>
        <v>01313024</v>
      </c>
    </row>
    <row r="7" spans="2:31" ht="14.25">
      <c r="B7" s="11" t="s">
        <v>818</v>
      </c>
      <c r="C7" s="12">
        <v>1615</v>
      </c>
      <c r="D7" s="16">
        <v>40254</v>
      </c>
      <c r="E7" s="19">
        <v>14374</v>
      </c>
      <c r="F7" s="25">
        <v>94</v>
      </c>
      <c r="G7" s="193">
        <v>37803000000</v>
      </c>
      <c r="H7" s="193">
        <v>37558000000</v>
      </c>
      <c r="I7" s="82"/>
      <c r="J7" s="184"/>
      <c r="K7" s="185"/>
      <c r="L7" s="200"/>
      <c r="O7" s="191" t="e">
        <f>365*K7/L7/(E7-IF(D7=J7,0,F7))*100</f>
        <v>#DIV/0!</v>
      </c>
      <c r="P7" s="37" t="str">
        <f t="shared" si="1"/>
        <v>日証金</v>
      </c>
      <c r="Q7" s="37"/>
      <c r="R7" s="34" t="str">
        <f t="shared" si="0"/>
        <v>開示</v>
      </c>
      <c r="S7" s="178">
        <v>40374</v>
      </c>
      <c r="T7" s="2">
        <v>0.00231</v>
      </c>
      <c r="U7" s="51">
        <v>100</v>
      </c>
      <c r="V7" s="219">
        <f t="shared" si="4"/>
        <v>-15517.82532967627</v>
      </c>
      <c r="W7">
        <v>5000000</v>
      </c>
      <c r="X7">
        <f t="shared" si="2"/>
        <v>0</v>
      </c>
      <c r="Y7" t="s">
        <v>1775</v>
      </c>
      <c r="Z7" t="s">
        <v>250</v>
      </c>
      <c r="AE7" t="str">
        <f t="shared" si="3"/>
        <v>01315024</v>
      </c>
    </row>
    <row r="8" spans="2:31" ht="14.25">
      <c r="B8" s="11" t="s">
        <v>819</v>
      </c>
      <c r="C8" s="12">
        <v>1312</v>
      </c>
      <c r="D8" s="16">
        <v>40254</v>
      </c>
      <c r="E8" s="19">
        <v>93147</v>
      </c>
      <c r="F8" s="25">
        <v>1047</v>
      </c>
      <c r="G8" s="193">
        <v>2878000000</v>
      </c>
      <c r="H8" s="193">
        <v>2846000000</v>
      </c>
      <c r="I8" s="82"/>
      <c r="J8" s="184"/>
      <c r="K8" s="185"/>
      <c r="L8" s="200"/>
      <c r="O8" s="191" t="e">
        <f aca="true" t="shared" si="5" ref="O8:O26">365*K8/L8/(E8-IF(D8=J8,0,F8))*10</f>
        <v>#DIV/0!</v>
      </c>
      <c r="P8" s="37"/>
      <c r="Q8" s="37"/>
      <c r="R8" s="34" t="str">
        <f t="shared" si="0"/>
        <v>開示</v>
      </c>
      <c r="S8" s="178">
        <v>40374</v>
      </c>
      <c r="T8" s="2">
        <v>0.00525</v>
      </c>
      <c r="U8" s="51">
        <v>10</v>
      </c>
      <c r="V8" s="219">
        <f t="shared" si="4"/>
        <v>-37.956186307601456</v>
      </c>
      <c r="W8">
        <v>100000</v>
      </c>
      <c r="X8">
        <f t="shared" si="2"/>
        <v>0</v>
      </c>
      <c r="Y8" t="s">
        <v>1811</v>
      </c>
      <c r="Z8" t="s">
        <v>251</v>
      </c>
      <c r="AE8" t="str">
        <f t="shared" si="3"/>
        <v>0131307A</v>
      </c>
    </row>
    <row r="9" spans="2:31" ht="14.25">
      <c r="B9" s="11" t="s">
        <v>820</v>
      </c>
      <c r="C9" s="12">
        <v>1617</v>
      </c>
      <c r="D9" s="16">
        <v>40254</v>
      </c>
      <c r="E9" s="19">
        <v>145936</v>
      </c>
      <c r="F9" s="25">
        <v>1304</v>
      </c>
      <c r="G9" s="193">
        <v>645000000</v>
      </c>
      <c r="H9" s="193">
        <v>639000000</v>
      </c>
      <c r="I9" s="82"/>
      <c r="J9" s="184"/>
      <c r="K9" s="185"/>
      <c r="L9" s="200"/>
      <c r="O9" s="191" t="e">
        <f t="shared" si="5"/>
        <v>#DIV/0!</v>
      </c>
      <c r="P9" s="37" t="str">
        <f t="shared" si="1"/>
        <v>日証金</v>
      </c>
      <c r="Q9" s="37"/>
      <c r="R9" s="34" t="str">
        <f t="shared" si="0"/>
        <v>開示</v>
      </c>
      <c r="S9" s="178">
        <v>40374</v>
      </c>
      <c r="T9" s="2">
        <v>0.00336</v>
      </c>
      <c r="U9" s="51">
        <v>10</v>
      </c>
      <c r="V9" s="219">
        <f t="shared" si="4"/>
        <v>16.36233218993766</v>
      </c>
      <c r="W9">
        <v>20000</v>
      </c>
      <c r="X9">
        <f t="shared" si="2"/>
        <v>0</v>
      </c>
      <c r="Y9" t="s">
        <v>1776</v>
      </c>
      <c r="Z9" t="s">
        <v>252</v>
      </c>
      <c r="AE9" t="str">
        <f t="shared" si="3"/>
        <v>01315083</v>
      </c>
    </row>
    <row r="10" spans="2:31" ht="14.25">
      <c r="B10" s="11" t="s">
        <v>821</v>
      </c>
      <c r="C10" s="12">
        <v>1618</v>
      </c>
      <c r="D10" s="16">
        <v>40254</v>
      </c>
      <c r="E10" s="19">
        <v>120786</v>
      </c>
      <c r="F10" s="25">
        <v>3283</v>
      </c>
      <c r="G10" s="193">
        <v>367000000</v>
      </c>
      <c r="H10" s="193">
        <v>357000000</v>
      </c>
      <c r="I10" s="82"/>
      <c r="J10" s="184"/>
      <c r="K10" s="185"/>
      <c r="L10" s="200"/>
      <c r="O10" s="191" t="e">
        <f t="shared" si="5"/>
        <v>#DIV/0!</v>
      </c>
      <c r="P10" s="37" t="str">
        <f t="shared" si="1"/>
        <v>日証金</v>
      </c>
      <c r="Q10" s="37"/>
      <c r="R10" s="34" t="str">
        <f t="shared" si="0"/>
        <v>開示</v>
      </c>
      <c r="S10" s="178">
        <v>40374</v>
      </c>
      <c r="T10" s="2">
        <v>0.00336</v>
      </c>
      <c r="U10" s="51">
        <v>10</v>
      </c>
      <c r="V10" s="219">
        <f t="shared" si="4"/>
        <v>2.1130555371155424</v>
      </c>
      <c r="W10">
        <v>10000</v>
      </c>
      <c r="X10">
        <f t="shared" si="2"/>
        <v>0</v>
      </c>
      <c r="Y10" t="s">
        <v>1777</v>
      </c>
      <c r="Z10" t="s">
        <v>253</v>
      </c>
      <c r="AE10" t="str">
        <f t="shared" si="3"/>
        <v>01316083</v>
      </c>
    </row>
    <row r="11" spans="2:31" ht="14.25">
      <c r="B11" s="11" t="s">
        <v>822</v>
      </c>
      <c r="C11" s="12">
        <v>1619</v>
      </c>
      <c r="D11" s="16">
        <v>40254</v>
      </c>
      <c r="E11" s="19">
        <v>125560</v>
      </c>
      <c r="F11" s="25">
        <v>1288</v>
      </c>
      <c r="G11" s="193">
        <v>1342000000</v>
      </c>
      <c r="H11" s="193">
        <v>1328000000</v>
      </c>
      <c r="I11" s="82"/>
      <c r="J11" s="184"/>
      <c r="K11" s="185"/>
      <c r="L11" s="200"/>
      <c r="O11" s="191" t="e">
        <f t="shared" si="5"/>
        <v>#DIV/0!</v>
      </c>
      <c r="P11" s="37" t="str">
        <f t="shared" si="1"/>
        <v>日証金</v>
      </c>
      <c r="Q11" s="37"/>
      <c r="R11" s="34" t="str">
        <f t="shared" si="0"/>
        <v>開示</v>
      </c>
      <c r="S11" s="178">
        <v>40374</v>
      </c>
      <c r="T11" s="2">
        <v>0.00336</v>
      </c>
      <c r="U11" s="51">
        <v>10</v>
      </c>
      <c r="V11" s="219">
        <f t="shared" si="4"/>
        <v>18.805925839515112</v>
      </c>
      <c r="W11">
        <v>30000</v>
      </c>
      <c r="X11">
        <f t="shared" si="2"/>
        <v>0</v>
      </c>
      <c r="Y11" t="s">
        <v>1779</v>
      </c>
      <c r="Z11" t="s">
        <v>254</v>
      </c>
      <c r="AE11" t="str">
        <f t="shared" si="3"/>
        <v>01317083</v>
      </c>
    </row>
    <row r="12" spans="2:31" ht="14.25">
      <c r="B12" s="11" t="s">
        <v>823</v>
      </c>
      <c r="C12" s="12">
        <v>1620</v>
      </c>
      <c r="D12" s="16">
        <v>40254</v>
      </c>
      <c r="E12" s="19">
        <v>112788</v>
      </c>
      <c r="F12" s="25">
        <v>1491</v>
      </c>
      <c r="G12" s="193">
        <v>518000000</v>
      </c>
      <c r="H12" s="193">
        <v>511000000</v>
      </c>
      <c r="I12" s="82"/>
      <c r="J12" s="184"/>
      <c r="K12" s="185"/>
      <c r="L12" s="200"/>
      <c r="O12" s="191" t="e">
        <f t="shared" si="5"/>
        <v>#DIV/0!</v>
      </c>
      <c r="P12" s="37" t="str">
        <f t="shared" si="1"/>
        <v>日証金</v>
      </c>
      <c r="Q12" s="37"/>
      <c r="R12" s="34" t="str">
        <f t="shared" si="0"/>
        <v>開示</v>
      </c>
      <c r="S12" s="178">
        <v>40374</v>
      </c>
      <c r="T12" s="2">
        <v>0.00336</v>
      </c>
      <c r="U12" s="51">
        <v>10</v>
      </c>
      <c r="V12" s="219">
        <f t="shared" si="4"/>
        <v>13.68441526148672</v>
      </c>
      <c r="W12">
        <v>40000</v>
      </c>
      <c r="X12">
        <f t="shared" si="2"/>
        <v>0</v>
      </c>
      <c r="Y12" t="s">
        <v>1780</v>
      </c>
      <c r="Z12" t="s">
        <v>255</v>
      </c>
      <c r="AE12" t="str">
        <f t="shared" si="3"/>
        <v>01318083</v>
      </c>
    </row>
    <row r="13" spans="2:31" ht="14.25">
      <c r="B13" s="11" t="s">
        <v>824</v>
      </c>
      <c r="C13" s="12">
        <v>1621</v>
      </c>
      <c r="D13" s="16">
        <v>40254</v>
      </c>
      <c r="E13" s="19">
        <v>110835</v>
      </c>
      <c r="F13" s="25">
        <v>585</v>
      </c>
      <c r="G13" s="193">
        <v>1782000000</v>
      </c>
      <c r="H13" s="193">
        <v>1773000000</v>
      </c>
      <c r="I13" s="82"/>
      <c r="J13" s="184"/>
      <c r="K13" s="185"/>
      <c r="L13" s="200"/>
      <c r="O13" s="191" t="e">
        <f t="shared" si="5"/>
        <v>#DIV/0!</v>
      </c>
      <c r="P13" s="37" t="str">
        <f t="shared" si="1"/>
        <v>日証金</v>
      </c>
      <c r="Q13" s="37"/>
      <c r="R13" s="34" t="str">
        <f t="shared" si="0"/>
        <v>開示</v>
      </c>
      <c r="S13" s="178">
        <v>40374</v>
      </c>
      <c r="T13" s="2">
        <v>0.00336</v>
      </c>
      <c r="U13" s="51">
        <v>10</v>
      </c>
      <c r="V13" s="219">
        <f t="shared" si="4"/>
        <v>-36.78938079494401</v>
      </c>
      <c r="W13">
        <v>20000</v>
      </c>
      <c r="X13">
        <f t="shared" si="2"/>
        <v>0</v>
      </c>
      <c r="Y13" t="s">
        <v>1781</v>
      </c>
      <c r="Z13" t="s">
        <v>256</v>
      </c>
      <c r="AE13" t="str">
        <f t="shared" si="3"/>
        <v>01319083</v>
      </c>
    </row>
    <row r="14" spans="2:31" ht="14.25">
      <c r="B14" s="11" t="s">
        <v>825</v>
      </c>
      <c r="C14" s="12">
        <v>1622</v>
      </c>
      <c r="D14" s="16">
        <v>40254</v>
      </c>
      <c r="E14" s="19">
        <v>124677</v>
      </c>
      <c r="F14" s="25">
        <v>1203</v>
      </c>
      <c r="G14" s="193">
        <v>1712000000</v>
      </c>
      <c r="H14" s="193">
        <v>1696000000</v>
      </c>
      <c r="I14" s="82"/>
      <c r="J14" s="184"/>
      <c r="K14" s="185"/>
      <c r="L14" s="200"/>
      <c r="O14" s="191" t="e">
        <f t="shared" si="5"/>
        <v>#DIV/0!</v>
      </c>
      <c r="P14" s="37" t="str">
        <f t="shared" si="1"/>
        <v>日証金</v>
      </c>
      <c r="Q14" s="37"/>
      <c r="R14" s="34" t="str">
        <f t="shared" si="0"/>
        <v>開示</v>
      </c>
      <c r="S14" s="178">
        <v>40374</v>
      </c>
      <c r="T14" s="2">
        <v>0.00336</v>
      </c>
      <c r="U14" s="51">
        <v>10</v>
      </c>
      <c r="V14" s="219">
        <f t="shared" si="4"/>
        <v>-42.03095601504174</v>
      </c>
      <c r="W14">
        <v>20000</v>
      </c>
      <c r="X14">
        <f t="shared" si="2"/>
        <v>0</v>
      </c>
      <c r="Y14" t="s">
        <v>1782</v>
      </c>
      <c r="Z14" t="s">
        <v>257</v>
      </c>
      <c r="AE14" t="str">
        <f t="shared" si="3"/>
        <v>0131A083</v>
      </c>
    </row>
    <row r="15" spans="2:31" ht="14.25">
      <c r="B15" s="11" t="s">
        <v>826</v>
      </c>
      <c r="C15" s="12">
        <v>1623</v>
      </c>
      <c r="D15" s="16">
        <v>40254</v>
      </c>
      <c r="E15" s="19">
        <v>223860</v>
      </c>
      <c r="F15" s="25">
        <v>3799</v>
      </c>
      <c r="G15" s="193">
        <v>249000000</v>
      </c>
      <c r="H15" s="193">
        <v>245000000</v>
      </c>
      <c r="I15" s="82"/>
      <c r="J15" s="184"/>
      <c r="K15" s="185"/>
      <c r="L15" s="200"/>
      <c r="O15" s="191" t="e">
        <f t="shared" si="5"/>
        <v>#DIV/0!</v>
      </c>
      <c r="P15" s="37" t="str">
        <f t="shared" si="1"/>
        <v>日証金</v>
      </c>
      <c r="Q15" s="37"/>
      <c r="R15" s="34" t="str">
        <f t="shared" si="0"/>
        <v>開示</v>
      </c>
      <c r="S15" s="178">
        <v>40374</v>
      </c>
      <c r="T15" s="2">
        <v>0.00336</v>
      </c>
      <c r="U15" s="51">
        <v>10</v>
      </c>
      <c r="V15" s="219">
        <f t="shared" si="4"/>
        <v>-10.253364229163253</v>
      </c>
      <c r="W15">
        <v>10000</v>
      </c>
      <c r="X15">
        <f t="shared" si="2"/>
        <v>0</v>
      </c>
      <c r="Y15" t="s">
        <v>1783</v>
      </c>
      <c r="Z15" t="s">
        <v>258</v>
      </c>
      <c r="AE15" t="str">
        <f t="shared" si="3"/>
        <v>0131B083</v>
      </c>
    </row>
    <row r="16" spans="2:31" ht="14.25">
      <c r="B16" s="11" t="s">
        <v>827</v>
      </c>
      <c r="C16" s="12">
        <v>1624</v>
      </c>
      <c r="D16" s="16">
        <v>40254</v>
      </c>
      <c r="E16" s="19">
        <v>171456</v>
      </c>
      <c r="F16" s="25">
        <v>1770</v>
      </c>
      <c r="G16" s="193">
        <v>520000000</v>
      </c>
      <c r="H16" s="193">
        <v>514000000</v>
      </c>
      <c r="I16" s="82"/>
      <c r="J16" s="184"/>
      <c r="K16" s="185"/>
      <c r="L16" s="200"/>
      <c r="O16" s="191" t="e">
        <f t="shared" si="5"/>
        <v>#DIV/0!</v>
      </c>
      <c r="P16" s="37" t="str">
        <f t="shared" si="1"/>
        <v>日証金</v>
      </c>
      <c r="Q16" s="37"/>
      <c r="R16" s="34" t="str">
        <f t="shared" si="0"/>
        <v>開示</v>
      </c>
      <c r="S16" s="178">
        <v>40374</v>
      </c>
      <c r="T16" s="2">
        <v>0.00336</v>
      </c>
      <c r="U16" s="51">
        <v>10</v>
      </c>
      <c r="V16" s="219">
        <f t="shared" si="4"/>
        <v>37.2369495760131</v>
      </c>
      <c r="W16">
        <v>20000</v>
      </c>
      <c r="X16">
        <f t="shared" si="2"/>
        <v>0</v>
      </c>
      <c r="Y16" t="s">
        <v>1794</v>
      </c>
      <c r="Z16" t="s">
        <v>259</v>
      </c>
      <c r="AE16" t="str">
        <f>MID(Z16,36,8)</f>
        <v>0131C083</v>
      </c>
    </row>
    <row r="17" spans="2:31" ht="14.25">
      <c r="B17" s="11" t="s">
        <v>828</v>
      </c>
      <c r="C17" s="12">
        <v>1625</v>
      </c>
      <c r="D17" s="16">
        <v>40254</v>
      </c>
      <c r="E17" s="19">
        <v>109871</v>
      </c>
      <c r="F17" s="25">
        <v>1599</v>
      </c>
      <c r="G17" s="193">
        <v>952000000</v>
      </c>
      <c r="H17" s="193">
        <v>938000000</v>
      </c>
      <c r="I17" s="82"/>
      <c r="J17" s="184"/>
      <c r="K17" s="185"/>
      <c r="L17" s="200"/>
      <c r="O17" s="191" t="e">
        <f t="shared" si="5"/>
        <v>#DIV/0!</v>
      </c>
      <c r="P17" s="37" t="str">
        <f t="shared" si="1"/>
        <v>日証金</v>
      </c>
      <c r="Q17" s="37"/>
      <c r="R17" s="34" t="str">
        <f t="shared" si="0"/>
        <v>開示</v>
      </c>
      <c r="S17" s="178">
        <v>40374</v>
      </c>
      <c r="T17" s="2">
        <v>0.00336</v>
      </c>
      <c r="U17" s="51">
        <v>10</v>
      </c>
      <c r="V17" s="219">
        <f t="shared" si="4"/>
        <v>13.40455877552813</v>
      </c>
      <c r="W17">
        <v>50000</v>
      </c>
      <c r="X17">
        <f t="shared" si="2"/>
        <v>0</v>
      </c>
      <c r="Y17" t="s">
        <v>1795</v>
      </c>
      <c r="Z17" t="s">
        <v>260</v>
      </c>
      <c r="AE17" t="str">
        <f t="shared" si="3"/>
        <v>0131D083</v>
      </c>
    </row>
    <row r="18" spans="2:31" ht="14.25">
      <c r="B18" s="11" t="s">
        <v>829</v>
      </c>
      <c r="C18" s="12">
        <v>1626</v>
      </c>
      <c r="D18" s="16">
        <v>40254</v>
      </c>
      <c r="E18" s="19">
        <v>90349</v>
      </c>
      <c r="F18" s="25">
        <v>757</v>
      </c>
      <c r="G18" s="193">
        <v>827000000</v>
      </c>
      <c r="H18" s="193">
        <v>820000000</v>
      </c>
      <c r="I18" s="82"/>
      <c r="J18" s="184"/>
      <c r="K18" s="185"/>
      <c r="L18" s="200"/>
      <c r="O18" s="191" t="e">
        <f t="shared" si="5"/>
        <v>#DIV/0!</v>
      </c>
      <c r="P18" s="37" t="str">
        <f t="shared" si="1"/>
        <v>日証金</v>
      </c>
      <c r="Q18" s="37"/>
      <c r="R18" s="34" t="str">
        <f t="shared" si="0"/>
        <v>開示</v>
      </c>
      <c r="S18" s="178">
        <v>40374</v>
      </c>
      <c r="T18" s="2">
        <v>0.00336</v>
      </c>
      <c r="U18" s="51">
        <v>10</v>
      </c>
      <c r="V18" s="219">
        <f t="shared" si="4"/>
        <v>7.911498344474239</v>
      </c>
      <c r="W18">
        <v>40000</v>
      </c>
      <c r="X18">
        <f t="shared" si="2"/>
        <v>0</v>
      </c>
      <c r="Y18" t="s">
        <v>1796</v>
      </c>
      <c r="Z18" t="s">
        <v>261</v>
      </c>
      <c r="AE18" t="str">
        <f t="shared" si="3"/>
        <v>0131E083</v>
      </c>
    </row>
    <row r="19" spans="2:31" ht="14.25">
      <c r="B19" s="11" t="s">
        <v>830</v>
      </c>
      <c r="C19" s="12">
        <v>1627</v>
      </c>
      <c r="D19" s="16">
        <v>40254</v>
      </c>
      <c r="E19" s="19">
        <v>116561</v>
      </c>
      <c r="F19" s="25">
        <v>139</v>
      </c>
      <c r="G19" s="193">
        <v>408000000</v>
      </c>
      <c r="H19" s="193">
        <v>407000000</v>
      </c>
      <c r="I19" s="82"/>
      <c r="J19" s="184"/>
      <c r="K19" s="185"/>
      <c r="L19" s="200"/>
      <c r="O19" s="191" t="e">
        <f t="shared" si="5"/>
        <v>#DIV/0!</v>
      </c>
      <c r="P19" s="37" t="str">
        <f t="shared" si="1"/>
        <v>日証金</v>
      </c>
      <c r="Q19" s="37"/>
      <c r="R19" s="34" t="str">
        <f t="shared" si="0"/>
        <v>開示</v>
      </c>
      <c r="S19" s="178">
        <v>40374</v>
      </c>
      <c r="T19" s="2">
        <v>0.00336</v>
      </c>
      <c r="U19" s="51">
        <v>10</v>
      </c>
      <c r="V19" s="219">
        <f t="shared" si="4"/>
        <v>44.10304525214087</v>
      </c>
      <c r="W19">
        <v>10000</v>
      </c>
      <c r="X19">
        <f t="shared" si="2"/>
        <v>0</v>
      </c>
      <c r="Y19" t="s">
        <v>1798</v>
      </c>
      <c r="Z19" t="s">
        <v>326</v>
      </c>
      <c r="AE19" t="str">
        <f t="shared" si="3"/>
        <v>0131F083</v>
      </c>
    </row>
    <row r="20" spans="2:31" ht="14.25">
      <c r="B20" s="11" t="s">
        <v>831</v>
      </c>
      <c r="C20" s="12">
        <v>1628</v>
      </c>
      <c r="D20" s="16">
        <v>40254</v>
      </c>
      <c r="E20" s="19">
        <v>103718</v>
      </c>
      <c r="F20" s="25">
        <v>104</v>
      </c>
      <c r="G20" s="193">
        <v>290000000</v>
      </c>
      <c r="H20" s="193">
        <v>290000000</v>
      </c>
      <c r="I20" s="82"/>
      <c r="J20" s="184"/>
      <c r="K20" s="185"/>
      <c r="L20" s="200"/>
      <c r="O20" s="191" t="e">
        <f t="shared" si="5"/>
        <v>#DIV/0!</v>
      </c>
      <c r="P20" s="37" t="str">
        <f t="shared" si="1"/>
        <v>日証金</v>
      </c>
      <c r="Q20" s="37"/>
      <c r="R20" s="34" t="str">
        <f t="shared" si="0"/>
        <v>開示</v>
      </c>
      <c r="S20" s="178">
        <v>40374</v>
      </c>
      <c r="T20" s="2">
        <v>0.00336</v>
      </c>
      <c r="U20" s="51">
        <v>10</v>
      </c>
      <c r="V20" s="219">
        <f t="shared" si="4"/>
        <v>-28.064593989129207</v>
      </c>
      <c r="W20">
        <v>20000</v>
      </c>
      <c r="X20">
        <f t="shared" si="2"/>
        <v>0</v>
      </c>
      <c r="Y20" t="s">
        <v>1799</v>
      </c>
      <c r="Z20" t="s">
        <v>327</v>
      </c>
      <c r="AE20" t="str">
        <f t="shared" si="3"/>
        <v>0131G083</v>
      </c>
    </row>
    <row r="21" spans="2:31" ht="14.25">
      <c r="B21" s="11" t="s">
        <v>832</v>
      </c>
      <c r="C21" s="12">
        <v>1629</v>
      </c>
      <c r="D21" s="16">
        <v>40254</v>
      </c>
      <c r="E21" s="19">
        <v>194485</v>
      </c>
      <c r="F21" s="25">
        <v>1438</v>
      </c>
      <c r="G21" s="193">
        <v>519000000</v>
      </c>
      <c r="H21" s="193">
        <v>515000000</v>
      </c>
      <c r="I21" s="82"/>
      <c r="J21" s="184"/>
      <c r="K21" s="185"/>
      <c r="L21" s="200"/>
      <c r="O21" s="191" t="e">
        <f t="shared" si="5"/>
        <v>#DIV/0!</v>
      </c>
      <c r="P21" s="37" t="str">
        <f t="shared" si="1"/>
        <v>日証金</v>
      </c>
      <c r="Q21" s="37"/>
      <c r="R21" s="34" t="str">
        <f t="shared" si="0"/>
        <v>開示</v>
      </c>
      <c r="S21" s="178">
        <v>40374</v>
      </c>
      <c r="T21" s="2">
        <v>0.00336</v>
      </c>
      <c r="U21" s="51">
        <v>10</v>
      </c>
      <c r="V21" s="219">
        <f t="shared" si="4"/>
        <v>8.42141805211213</v>
      </c>
      <c r="W21">
        <v>10000</v>
      </c>
      <c r="X21">
        <f t="shared" si="2"/>
        <v>0</v>
      </c>
      <c r="Y21" t="s">
        <v>1800</v>
      </c>
      <c r="Z21" t="s">
        <v>328</v>
      </c>
      <c r="AE21" t="str">
        <f t="shared" si="3"/>
        <v>0131H083</v>
      </c>
    </row>
    <row r="22" spans="2:31" ht="14.25">
      <c r="B22" s="11" t="s">
        <v>833</v>
      </c>
      <c r="C22" s="12">
        <v>1630</v>
      </c>
      <c r="D22" s="16">
        <v>40254</v>
      </c>
      <c r="E22" s="19">
        <v>93315</v>
      </c>
      <c r="F22" s="25">
        <v>935</v>
      </c>
      <c r="G22" s="193">
        <v>253000000</v>
      </c>
      <c r="H22" s="193">
        <v>251000000</v>
      </c>
      <c r="I22" s="82"/>
      <c r="J22" s="184"/>
      <c r="K22" s="185"/>
      <c r="L22" s="200"/>
      <c r="O22" s="191" t="e">
        <f t="shared" si="5"/>
        <v>#DIV/0!</v>
      </c>
      <c r="P22" s="37" t="str">
        <f t="shared" si="1"/>
        <v>日証金</v>
      </c>
      <c r="Q22" s="37"/>
      <c r="R22" s="34" t="str">
        <f t="shared" si="0"/>
        <v>開示</v>
      </c>
      <c r="S22" s="178">
        <v>40374</v>
      </c>
      <c r="T22" s="2">
        <v>0.00336</v>
      </c>
      <c r="U22" s="51">
        <v>10</v>
      </c>
      <c r="V22" s="219">
        <f t="shared" si="4"/>
        <v>-57.91467922454103</v>
      </c>
      <c r="W22">
        <v>20000</v>
      </c>
      <c r="X22">
        <f t="shared" si="2"/>
        <v>0</v>
      </c>
      <c r="Y22" t="s">
        <v>1801</v>
      </c>
      <c r="Z22" t="s">
        <v>329</v>
      </c>
      <c r="AE22" t="str">
        <f t="shared" si="3"/>
        <v>0131I083</v>
      </c>
    </row>
    <row r="23" spans="2:31" ht="14.25">
      <c r="B23" s="11" t="s">
        <v>1753</v>
      </c>
      <c r="C23" s="12">
        <v>1631</v>
      </c>
      <c r="D23" s="16">
        <v>40254</v>
      </c>
      <c r="E23" s="19">
        <v>84964</v>
      </c>
      <c r="F23" s="25">
        <v>554</v>
      </c>
      <c r="G23" s="193">
        <v>3152000000</v>
      </c>
      <c r="H23" s="193">
        <v>3131000000</v>
      </c>
      <c r="I23" s="82"/>
      <c r="J23" s="184"/>
      <c r="K23" s="185"/>
      <c r="L23" s="200"/>
      <c r="O23" s="191" t="e">
        <f t="shared" si="5"/>
        <v>#DIV/0!</v>
      </c>
      <c r="P23" s="37" t="str">
        <f t="shared" si="1"/>
        <v>日証金</v>
      </c>
      <c r="Q23" s="37"/>
      <c r="R23" s="34" t="str">
        <f t="shared" si="0"/>
        <v>開示</v>
      </c>
      <c r="S23" s="178">
        <v>40374</v>
      </c>
      <c r="T23" s="2">
        <v>0.00336</v>
      </c>
      <c r="U23" s="51">
        <v>10</v>
      </c>
      <c r="V23" s="219">
        <f t="shared" si="4"/>
        <v>53.03541703360679</v>
      </c>
      <c r="W23">
        <v>30000</v>
      </c>
      <c r="X23">
        <f t="shared" si="2"/>
        <v>0</v>
      </c>
      <c r="Y23" t="s">
        <v>1802</v>
      </c>
      <c r="Z23" t="s">
        <v>330</v>
      </c>
      <c r="AE23" t="str">
        <f t="shared" si="3"/>
        <v>0131J083</v>
      </c>
    </row>
    <row r="24" spans="2:31" ht="14.25">
      <c r="B24" s="11" t="s">
        <v>834</v>
      </c>
      <c r="C24" s="12">
        <v>1632</v>
      </c>
      <c r="D24" s="16">
        <v>40254</v>
      </c>
      <c r="E24" s="19">
        <v>87101</v>
      </c>
      <c r="F24" s="25">
        <v>1051</v>
      </c>
      <c r="G24" s="193">
        <v>265000000</v>
      </c>
      <c r="H24" s="193">
        <v>262000000</v>
      </c>
      <c r="I24" s="82"/>
      <c r="J24" s="184"/>
      <c r="K24" s="185"/>
      <c r="L24" s="200"/>
      <c r="O24" s="191" t="e">
        <f t="shared" si="5"/>
        <v>#DIV/0!</v>
      </c>
      <c r="P24" s="37" t="str">
        <f t="shared" si="1"/>
        <v>日証金</v>
      </c>
      <c r="Q24" s="37"/>
      <c r="R24" s="34" t="str">
        <f t="shared" si="0"/>
        <v>開示</v>
      </c>
      <c r="S24" s="178">
        <v>40374</v>
      </c>
      <c r="T24" s="2">
        <v>0.00336</v>
      </c>
      <c r="U24" s="51">
        <v>10</v>
      </c>
      <c r="V24" s="219">
        <f t="shared" si="4"/>
        <v>-22.964517319087463</v>
      </c>
      <c r="W24">
        <v>10000</v>
      </c>
      <c r="X24">
        <f t="shared" si="2"/>
        <v>0</v>
      </c>
      <c r="Y24" t="s">
        <v>1803</v>
      </c>
      <c r="Z24" t="s">
        <v>331</v>
      </c>
      <c r="AE24" t="str">
        <f t="shared" si="3"/>
        <v>0131K083</v>
      </c>
    </row>
    <row r="25" spans="2:31" ht="14.25">
      <c r="B25" s="11" t="s">
        <v>835</v>
      </c>
      <c r="C25" s="12">
        <v>1633</v>
      </c>
      <c r="D25" s="16">
        <v>40254</v>
      </c>
      <c r="E25" s="19">
        <v>169255</v>
      </c>
      <c r="F25" s="25">
        <v>2214</v>
      </c>
      <c r="G25" s="193">
        <v>350000000</v>
      </c>
      <c r="H25" s="193">
        <v>345000000</v>
      </c>
      <c r="I25" s="82"/>
      <c r="J25" s="184"/>
      <c r="K25" s="185"/>
      <c r="L25" s="200"/>
      <c r="O25" s="191" t="e">
        <f t="shared" si="5"/>
        <v>#DIV/0!</v>
      </c>
      <c r="P25" s="37" t="str">
        <f t="shared" si="1"/>
        <v>日証金</v>
      </c>
      <c r="Q25" s="37"/>
      <c r="R25" s="34" t="str">
        <f t="shared" si="0"/>
        <v>開示</v>
      </c>
      <c r="S25" s="178">
        <v>40374</v>
      </c>
      <c r="T25" s="2">
        <v>0.00336</v>
      </c>
      <c r="U25" s="51">
        <v>10</v>
      </c>
      <c r="V25" s="219">
        <f t="shared" si="4"/>
        <v>25.2453579494113</v>
      </c>
      <c r="W25">
        <v>10000</v>
      </c>
      <c r="X25">
        <f t="shared" si="2"/>
        <v>0</v>
      </c>
      <c r="Y25" t="s">
        <v>1804</v>
      </c>
      <c r="Z25" t="s">
        <v>337</v>
      </c>
      <c r="AE25" t="str">
        <f t="shared" si="3"/>
        <v>0131L083</v>
      </c>
    </row>
    <row r="26" spans="2:31" ht="14.25">
      <c r="B26" s="11" t="s">
        <v>836</v>
      </c>
      <c r="C26" s="12">
        <v>1343</v>
      </c>
      <c r="D26" s="16">
        <v>40254</v>
      </c>
      <c r="E26" s="19">
        <v>96587</v>
      </c>
      <c r="F26" s="25">
        <v>432</v>
      </c>
      <c r="G26" s="193">
        <v>4743000000</v>
      </c>
      <c r="H26" s="193">
        <v>4722000000</v>
      </c>
      <c r="I26" s="82"/>
      <c r="J26" s="184"/>
      <c r="K26" s="185"/>
      <c r="L26" s="200"/>
      <c r="O26" s="191" t="e">
        <f t="shared" si="5"/>
        <v>#DIV/0!</v>
      </c>
      <c r="P26" s="37" t="str">
        <f t="shared" si="1"/>
        <v>日証金</v>
      </c>
      <c r="Q26" s="37"/>
      <c r="R26" s="34" t="str">
        <f t="shared" si="0"/>
        <v>開示</v>
      </c>
      <c r="S26" s="62" t="s">
        <v>1612</v>
      </c>
      <c r="T26" s="2">
        <v>0.00336</v>
      </c>
      <c r="U26" s="51">
        <v>10</v>
      </c>
      <c r="V26" s="219">
        <f t="shared" si="4"/>
        <v>-22.233532777245273</v>
      </c>
      <c r="W26">
        <v>200000</v>
      </c>
      <c r="X26">
        <f t="shared" si="2"/>
        <v>0</v>
      </c>
      <c r="Y26" t="s">
        <v>1807</v>
      </c>
      <c r="Z26" t="s">
        <v>338</v>
      </c>
      <c r="AE26" t="str">
        <f t="shared" si="3"/>
        <v>01314089</v>
      </c>
    </row>
    <row r="27" spans="2:31" ht="14.25">
      <c r="B27" s="11" t="s">
        <v>1663</v>
      </c>
      <c r="C27" s="12">
        <v>1319</v>
      </c>
      <c r="D27" s="16">
        <v>40254</v>
      </c>
      <c r="E27" s="19">
        <v>19206</v>
      </c>
      <c r="F27" s="25">
        <v>197</v>
      </c>
      <c r="G27" s="193">
        <v>11759000000</v>
      </c>
      <c r="H27" s="193">
        <v>11638000000</v>
      </c>
      <c r="I27" s="82"/>
      <c r="J27" s="184"/>
      <c r="K27" s="185"/>
      <c r="L27" s="200"/>
      <c r="O27" s="191" t="e">
        <f>365*K27/L27/(E27-IF(D27=J27,0,F27))*100</f>
        <v>#DIV/0!</v>
      </c>
      <c r="P27" s="37" t="str">
        <f t="shared" si="1"/>
        <v>日証金</v>
      </c>
      <c r="Q27" s="37"/>
      <c r="R27" s="34" t="str">
        <f>HYPERLINK("http://company.nikkei.co.jp/disclose/disclose.aspx?scode="&amp;C27,"開示")</f>
        <v>開示</v>
      </c>
      <c r="S27" s="178">
        <v>40369</v>
      </c>
      <c r="T27" s="2">
        <v>0.00546</v>
      </c>
      <c r="U27" s="51">
        <v>100</v>
      </c>
      <c r="V27" s="219">
        <f t="shared" si="4"/>
        <v>2027.73666564608</v>
      </c>
      <c r="W27">
        <v>12000000</v>
      </c>
      <c r="X27">
        <f t="shared" si="2"/>
        <v>0</v>
      </c>
      <c r="Y27" t="s">
        <v>1810</v>
      </c>
      <c r="Z27" t="s">
        <v>339</v>
      </c>
      <c r="AE27" t="str">
        <f t="shared" si="3"/>
        <v>01314954</v>
      </c>
    </row>
    <row r="28" spans="2:31" ht="14.25">
      <c r="B28" s="13" t="s">
        <v>1662</v>
      </c>
      <c r="C28" s="14">
        <v>1682</v>
      </c>
      <c r="D28" s="17">
        <v>40254</v>
      </c>
      <c r="E28" s="20">
        <v>27819</v>
      </c>
      <c r="F28" s="26">
        <v>183</v>
      </c>
      <c r="G28" s="194">
        <v>540000000</v>
      </c>
      <c r="H28" s="194">
        <v>536000000</v>
      </c>
      <c r="I28" s="83"/>
      <c r="J28" s="184"/>
      <c r="K28" s="185"/>
      <c r="L28" s="200"/>
      <c r="M28" s="180"/>
      <c r="N28" s="180"/>
      <c r="O28" s="191" t="e">
        <f>365*K28/L28/(E28-IF(D28=J28,0,AA28))*1</f>
        <v>#DIV/0!</v>
      </c>
      <c r="P28" s="37" t="str">
        <f>HYPERLINK("http://www.jsf.co.jp/de/stock/data.php?target=balance&amp;div=%93%8C%8F%D8&amp;code="&amp;C28,"日証金")</f>
        <v>日証金</v>
      </c>
      <c r="Q28" s="37" t="str">
        <f>HYPERLINK("http://nextfunds.jp/lineup/"&amp;$C28&amp;"/detail.html","NEXT FUNDS("&amp;$C28&amp;")")</f>
        <v>NEXT FUNDS(1682)</v>
      </c>
      <c r="R28" s="34" t="str">
        <f>HYPERLINK("http://company.nikkei.co.jp/disclose/disclose.aspx?scode="&amp;C28,"開示")</f>
        <v>開示</v>
      </c>
      <c r="S28" s="62"/>
      <c r="T28" s="2"/>
      <c r="U28" s="51">
        <v>100</v>
      </c>
      <c r="V28" s="219">
        <f>(G28/E28-H28/(E28-AA28))*U28</f>
        <v>14378.662065494791</v>
      </c>
      <c r="W28">
        <v>1000000</v>
      </c>
      <c r="X28">
        <f t="shared" si="2"/>
        <v>0</v>
      </c>
      <c r="Y28" t="s">
        <v>1664</v>
      </c>
      <c r="Z28" s="334" t="s">
        <v>135</v>
      </c>
      <c r="AA28" s="309">
        <v>0</v>
      </c>
      <c r="AE28" t="s">
        <v>1661</v>
      </c>
    </row>
    <row r="29" spans="2:22" ht="14.25">
      <c r="B29" s="12"/>
      <c r="C29" s="12"/>
      <c r="D29" s="16"/>
      <c r="E29" s="110"/>
      <c r="F29" s="110"/>
      <c r="G29" s="196"/>
      <c r="H29" s="196"/>
      <c r="I29" s="67"/>
      <c r="J29" s="201"/>
      <c r="K29" s="187"/>
      <c r="L29" s="190"/>
      <c r="O29" s="191"/>
      <c r="P29" s="37"/>
      <c r="Q29" s="37"/>
      <c r="R29" s="34"/>
      <c r="S29" s="178"/>
      <c r="T29" s="2"/>
      <c r="V29" s="125"/>
    </row>
    <row r="30" spans="2:22" ht="14.25">
      <c r="B30" s="12"/>
      <c r="C30" s="12"/>
      <c r="D30" s="16"/>
      <c r="E30" s="110"/>
      <c r="F30" s="110"/>
      <c r="G30" s="196"/>
      <c r="H30" s="196"/>
      <c r="I30" s="67"/>
      <c r="J30" s="201"/>
      <c r="K30" s="187"/>
      <c r="L30" s="190"/>
      <c r="O30" s="191"/>
      <c r="P30" s="37"/>
      <c r="Q30" s="37"/>
      <c r="R30" s="34"/>
      <c r="S30" s="178"/>
      <c r="T30" s="2"/>
      <c r="V30" s="125"/>
    </row>
    <row r="31" ht="13.5">
      <c r="K31" s="186"/>
    </row>
    <row r="32" ht="13.5">
      <c r="K32" s="186"/>
    </row>
    <row r="33" spans="2:24" ht="13.5">
      <c r="B33" t="s">
        <v>2025</v>
      </c>
      <c r="C33" t="s">
        <v>57</v>
      </c>
      <c r="D33" t="s">
        <v>28</v>
      </c>
      <c r="E33" t="s">
        <v>2041</v>
      </c>
      <c r="F33" t="s">
        <v>51</v>
      </c>
      <c r="G33" t="s">
        <v>1271</v>
      </c>
      <c r="H33" t="s">
        <v>1645</v>
      </c>
      <c r="I33" t="s">
        <v>1018</v>
      </c>
      <c r="J33" t="s">
        <v>1524</v>
      </c>
      <c r="K33" s="1" t="s">
        <v>1930</v>
      </c>
      <c r="L33" s="51" t="s">
        <v>1931</v>
      </c>
      <c r="Q33" t="s">
        <v>1647</v>
      </c>
      <c r="T33" t="s">
        <v>1932</v>
      </c>
      <c r="U33" s="51" t="s">
        <v>853</v>
      </c>
      <c r="V33" s="51" t="s">
        <v>854</v>
      </c>
      <c r="W33" s="51" t="s">
        <v>855</v>
      </c>
      <c r="X33" s="51" t="s">
        <v>856</v>
      </c>
    </row>
    <row r="34" spans="1:25" ht="13.5">
      <c r="A34" t="s">
        <v>25</v>
      </c>
      <c r="B34" s="9" t="s">
        <v>612</v>
      </c>
      <c r="C34" s="10">
        <v>1305</v>
      </c>
      <c r="D34" s="15">
        <v>40254</v>
      </c>
      <c r="E34" s="18">
        <v>9575</v>
      </c>
      <c r="F34" s="24">
        <v>95</v>
      </c>
      <c r="G34" s="192">
        <v>198811000000</v>
      </c>
      <c r="H34" s="192">
        <v>196847000000</v>
      </c>
      <c r="I34" s="81"/>
      <c r="J34" s="184">
        <v>40254</v>
      </c>
      <c r="K34" s="185">
        <v>0.05</v>
      </c>
      <c r="L34" s="200">
        <v>1</v>
      </c>
      <c r="O34" s="191">
        <f>365*K34/L34/(E34-IF(D34=J34,0,F34))*10</f>
        <v>0.01906005221932115</v>
      </c>
      <c r="P34" s="37" t="str">
        <f aca="true" t="shared" si="6" ref="P34:P55">HYPERLINK("http://www.jsf.co.jp/de/stock/data.php?target=balance&amp;div=%93%8C%8F%D8&amp;code="&amp;C34,"日証金")</f>
        <v>日証金</v>
      </c>
      <c r="Q34" t="s">
        <v>1649</v>
      </c>
      <c r="R34" s="34" t="str">
        <f aca="true" t="shared" si="7" ref="R34:R55">HYPERLINK("http://company.nikkei.co.jp/disclose/disclose.aspx?scode="&amp;C34,"開示")</f>
        <v>開示</v>
      </c>
      <c r="S34" s="71">
        <v>40004</v>
      </c>
      <c r="T34" s="2">
        <v>0.001155</v>
      </c>
      <c r="U34" s="51">
        <v>10</v>
      </c>
      <c r="V34" s="219">
        <f aca="true" t="shared" si="8" ref="V34:V55">(G34/E34-H34/(E34-F34))*U34</f>
        <v>-9005.629551298916</v>
      </c>
      <c r="W34">
        <v>2000000</v>
      </c>
      <c r="X34">
        <f aca="true" t="shared" si="9" ref="X34:X55">ROUND(V34/W34,0)</f>
        <v>0</v>
      </c>
      <c r="Y34" t="s">
        <v>1814</v>
      </c>
    </row>
    <row r="35" spans="2:25" ht="13.5">
      <c r="B35" s="11" t="s">
        <v>613</v>
      </c>
      <c r="C35" s="12">
        <v>1320</v>
      </c>
      <c r="D35" s="16">
        <v>40254</v>
      </c>
      <c r="E35" s="19">
        <v>10900</v>
      </c>
      <c r="F35" s="25">
        <v>126</v>
      </c>
      <c r="G35" s="193">
        <v>198642000000</v>
      </c>
      <c r="H35" s="193">
        <v>196351000000</v>
      </c>
      <c r="I35" s="82"/>
      <c r="J35" s="184">
        <v>40254</v>
      </c>
      <c r="K35" s="185">
        <v>0.5</v>
      </c>
      <c r="L35" s="200">
        <v>1</v>
      </c>
      <c r="O35" s="191">
        <f>365*K35/L35/(E35-IF(D35=J35,0,F35))*1</f>
        <v>0.016743119266055047</v>
      </c>
      <c r="P35" s="37"/>
      <c r="R35" s="34" t="str">
        <f t="shared" si="7"/>
        <v>開示</v>
      </c>
      <c r="S35" s="71">
        <v>40004</v>
      </c>
      <c r="T35" s="2">
        <v>0.00231</v>
      </c>
      <c r="U35" s="51">
        <v>1</v>
      </c>
      <c r="V35" s="219">
        <f t="shared" si="8"/>
        <v>-485.30015344545245</v>
      </c>
      <c r="W35">
        <v>23920</v>
      </c>
      <c r="X35">
        <f t="shared" si="9"/>
        <v>0</v>
      </c>
      <c r="Y35" t="s">
        <v>1815</v>
      </c>
    </row>
    <row r="36" spans="2:25" ht="13.5">
      <c r="B36" s="11" t="s">
        <v>614</v>
      </c>
      <c r="C36" s="12">
        <v>1310</v>
      </c>
      <c r="D36" s="16">
        <v>40254</v>
      </c>
      <c r="E36" s="19">
        <v>53867</v>
      </c>
      <c r="F36" s="25">
        <v>466</v>
      </c>
      <c r="G36" s="193">
        <v>10186000000</v>
      </c>
      <c r="H36" s="193">
        <v>10098000000</v>
      </c>
      <c r="I36" s="82"/>
      <c r="J36" s="184">
        <v>40254</v>
      </c>
      <c r="K36" s="185">
        <v>0.05</v>
      </c>
      <c r="L36" s="200">
        <v>1</v>
      </c>
      <c r="O36" s="191">
        <f>365*K36/L36/(E36-IF(D36=J36,0,F36))*100</f>
        <v>0.03387974084318785</v>
      </c>
      <c r="P36" s="37" t="str">
        <f t="shared" si="6"/>
        <v>日証金</v>
      </c>
      <c r="R36" s="34" t="str">
        <f t="shared" si="7"/>
        <v>開示</v>
      </c>
      <c r="S36" s="71">
        <v>40004</v>
      </c>
      <c r="T36" s="2">
        <v>0.00231</v>
      </c>
      <c r="U36" s="51">
        <v>100</v>
      </c>
      <c r="V36" s="219">
        <f t="shared" si="8"/>
        <v>-221.7933393374551</v>
      </c>
      <c r="W36">
        <v>1500000</v>
      </c>
      <c r="X36">
        <f t="shared" si="9"/>
        <v>0</v>
      </c>
      <c r="Y36" t="s">
        <v>1816</v>
      </c>
    </row>
    <row r="37" spans="2:25" ht="13.5">
      <c r="B37" s="11" t="s">
        <v>615</v>
      </c>
      <c r="C37" s="12">
        <v>1610</v>
      </c>
      <c r="D37" s="16">
        <v>40254</v>
      </c>
      <c r="E37" s="19">
        <v>140284</v>
      </c>
      <c r="F37" s="25">
        <v>2148</v>
      </c>
      <c r="G37" s="193">
        <v>1436000000</v>
      </c>
      <c r="H37" s="193">
        <v>1414000000</v>
      </c>
      <c r="I37" s="82"/>
      <c r="J37" s="184"/>
      <c r="K37" s="185"/>
      <c r="L37" s="200"/>
      <c r="O37" s="191" t="e">
        <f>365*K37/L37/(E37-IF(D37=J37,0,F37))*100</f>
        <v>#DIV/0!</v>
      </c>
      <c r="P37" s="37" t="str">
        <f t="shared" si="6"/>
        <v>日証金</v>
      </c>
      <c r="R37" s="34" t="str">
        <f t="shared" si="7"/>
        <v>開示</v>
      </c>
      <c r="S37" s="71">
        <v>40004</v>
      </c>
      <c r="T37" s="2">
        <v>0.00231</v>
      </c>
      <c r="U37" s="51">
        <v>100</v>
      </c>
      <c r="V37" s="219">
        <f t="shared" si="8"/>
        <v>8.875921042454138</v>
      </c>
      <c r="W37">
        <v>1000000</v>
      </c>
      <c r="X37">
        <f t="shared" si="9"/>
        <v>0</v>
      </c>
      <c r="Y37" t="s">
        <v>1822</v>
      </c>
    </row>
    <row r="38" spans="2:25" ht="13.5">
      <c r="B38" s="11" t="s">
        <v>616</v>
      </c>
      <c r="C38" s="12">
        <v>1612</v>
      </c>
      <c r="D38" s="16">
        <v>40254</v>
      </c>
      <c r="E38" s="19">
        <v>13650</v>
      </c>
      <c r="F38" s="25">
        <v>89</v>
      </c>
      <c r="G38" s="193">
        <v>2333000000</v>
      </c>
      <c r="H38" s="193">
        <v>2318000000</v>
      </c>
      <c r="I38" s="82"/>
      <c r="J38" s="184"/>
      <c r="K38" s="185"/>
      <c r="L38" s="200"/>
      <c r="O38" s="191" t="e">
        <f>365*K38/L38/(E38-IF(D38=J38,0,F38))*100</f>
        <v>#DIV/0!</v>
      </c>
      <c r="P38" s="37" t="str">
        <f t="shared" si="6"/>
        <v>日証金</v>
      </c>
      <c r="R38" s="34" t="str">
        <f t="shared" si="7"/>
        <v>開示</v>
      </c>
      <c r="S38" s="71">
        <v>40004</v>
      </c>
      <c r="T38" s="2">
        <v>0.00231</v>
      </c>
      <c r="U38" s="51">
        <v>100</v>
      </c>
      <c r="V38" s="219">
        <f t="shared" si="8"/>
        <v>-1559.6330027416116</v>
      </c>
      <c r="W38">
        <v>2500000</v>
      </c>
      <c r="X38">
        <f t="shared" si="9"/>
        <v>0</v>
      </c>
      <c r="Y38" t="s">
        <v>1823</v>
      </c>
    </row>
    <row r="39" spans="2:25" ht="13.5">
      <c r="B39" s="11" t="s">
        <v>617</v>
      </c>
      <c r="C39" s="67">
        <v>1634</v>
      </c>
      <c r="D39" s="16">
        <v>40254</v>
      </c>
      <c r="E39" s="19">
        <v>14510</v>
      </c>
      <c r="F39" s="25">
        <v>130</v>
      </c>
      <c r="G39" s="193">
        <v>1424000000</v>
      </c>
      <c r="H39" s="193">
        <v>1411000000</v>
      </c>
      <c r="I39" s="82"/>
      <c r="J39" s="184"/>
      <c r="K39" s="185"/>
      <c r="L39" s="200"/>
      <c r="O39" s="191" t="e">
        <f aca="true" t="shared" si="10" ref="O39:O55">365*K39/L39/(E39-IF(D39=J39,0,F39))*10</f>
        <v>#DIV/0!</v>
      </c>
      <c r="P39" s="37" t="str">
        <f t="shared" si="6"/>
        <v>日証金</v>
      </c>
      <c r="R39" s="34" t="str">
        <f t="shared" si="7"/>
        <v>開示</v>
      </c>
      <c r="S39" t="s">
        <v>1230</v>
      </c>
      <c r="T39" s="2">
        <v>0.00294</v>
      </c>
      <c r="U39" s="51">
        <v>1</v>
      </c>
      <c r="V39" s="219">
        <f t="shared" si="8"/>
        <v>16.822123536694562</v>
      </c>
      <c r="W39">
        <v>20000</v>
      </c>
      <c r="X39">
        <f t="shared" si="9"/>
        <v>0</v>
      </c>
      <c r="Y39" t="s">
        <v>1824</v>
      </c>
    </row>
    <row r="40" spans="2:25" ht="13.5">
      <c r="B40" s="11" t="s">
        <v>618</v>
      </c>
      <c r="C40" s="67">
        <v>1635</v>
      </c>
      <c r="D40" s="16">
        <v>40254</v>
      </c>
      <c r="E40" s="19">
        <v>12063</v>
      </c>
      <c r="F40" s="25">
        <v>327</v>
      </c>
      <c r="G40" s="193">
        <v>303000000</v>
      </c>
      <c r="H40" s="193">
        <v>295000000</v>
      </c>
      <c r="I40" s="82"/>
      <c r="J40" s="184"/>
      <c r="K40" s="185"/>
      <c r="L40" s="200"/>
      <c r="O40" s="191" t="e">
        <f t="shared" si="10"/>
        <v>#DIV/0!</v>
      </c>
      <c r="P40" s="37" t="str">
        <f t="shared" si="6"/>
        <v>日証金</v>
      </c>
      <c r="R40" s="34" t="str">
        <f t="shared" si="7"/>
        <v>開示</v>
      </c>
      <c r="S40" t="s">
        <v>1230</v>
      </c>
      <c r="T40" s="2">
        <v>0.00294</v>
      </c>
      <c r="U40" s="51">
        <v>1</v>
      </c>
      <c r="V40" s="219">
        <f t="shared" si="8"/>
        <v>-18.202833216953877</v>
      </c>
      <c r="W40">
        <v>6000</v>
      </c>
      <c r="X40">
        <f t="shared" si="9"/>
        <v>0</v>
      </c>
      <c r="Y40" t="s">
        <v>1825</v>
      </c>
    </row>
    <row r="41" spans="2:25" ht="13.5">
      <c r="B41" s="11" t="s">
        <v>619</v>
      </c>
      <c r="C41" s="67">
        <v>1636</v>
      </c>
      <c r="D41" s="16">
        <v>40254</v>
      </c>
      <c r="E41" s="19">
        <v>12414</v>
      </c>
      <c r="F41" s="25">
        <v>127</v>
      </c>
      <c r="G41" s="193">
        <v>1201000000</v>
      </c>
      <c r="H41" s="193">
        <v>1188000000</v>
      </c>
      <c r="I41" s="82"/>
      <c r="J41" s="184"/>
      <c r="K41" s="185"/>
      <c r="L41" s="200"/>
      <c r="O41" s="191" t="e">
        <f t="shared" si="10"/>
        <v>#DIV/0!</v>
      </c>
      <c r="P41" s="37" t="str">
        <f t="shared" si="6"/>
        <v>日証金</v>
      </c>
      <c r="R41" s="34" t="str">
        <f t="shared" si="7"/>
        <v>開示</v>
      </c>
      <c r="S41" t="s">
        <v>1230</v>
      </c>
      <c r="T41" s="2">
        <v>0.00294</v>
      </c>
      <c r="U41" s="51">
        <v>1</v>
      </c>
      <c r="V41" s="219">
        <f t="shared" si="8"/>
        <v>58.05384194556973</v>
      </c>
      <c r="W41">
        <v>44000</v>
      </c>
      <c r="X41">
        <f t="shared" si="9"/>
        <v>0</v>
      </c>
      <c r="Y41" t="s">
        <v>1826</v>
      </c>
    </row>
    <row r="42" spans="2:25" ht="13.5">
      <c r="B42" s="11" t="s">
        <v>620</v>
      </c>
      <c r="C42" s="67">
        <v>1637</v>
      </c>
      <c r="D42" s="16">
        <v>40254</v>
      </c>
      <c r="E42" s="19">
        <v>11904</v>
      </c>
      <c r="F42" s="25">
        <v>157</v>
      </c>
      <c r="G42" s="193">
        <v>2212000000</v>
      </c>
      <c r="H42" s="193">
        <v>2183000000</v>
      </c>
      <c r="I42" s="82"/>
      <c r="J42" s="184"/>
      <c r="K42" s="185"/>
      <c r="L42" s="200"/>
      <c r="O42" s="191" t="e">
        <f t="shared" si="10"/>
        <v>#DIV/0!</v>
      </c>
      <c r="P42" s="37" t="str">
        <f t="shared" si="6"/>
        <v>日証金</v>
      </c>
      <c r="R42" s="34" t="str">
        <f t="shared" si="7"/>
        <v>開示</v>
      </c>
      <c r="S42" t="s">
        <v>1230</v>
      </c>
      <c r="T42" s="2">
        <v>0.00294</v>
      </c>
      <c r="U42" s="51">
        <v>1</v>
      </c>
      <c r="V42" s="219">
        <f t="shared" si="8"/>
        <v>-14.788722080469597</v>
      </c>
      <c r="W42">
        <v>50000</v>
      </c>
      <c r="X42">
        <f t="shared" si="9"/>
        <v>0</v>
      </c>
      <c r="Y42" t="s">
        <v>1827</v>
      </c>
    </row>
    <row r="43" spans="2:25" ht="13.5">
      <c r="B43" s="11" t="s">
        <v>621</v>
      </c>
      <c r="C43" s="67">
        <v>1638</v>
      </c>
      <c r="D43" s="16">
        <v>40254</v>
      </c>
      <c r="E43" s="19">
        <v>10822</v>
      </c>
      <c r="F43" s="25">
        <v>57</v>
      </c>
      <c r="G43" s="193">
        <v>1323000000</v>
      </c>
      <c r="H43" s="193">
        <v>1317000000</v>
      </c>
      <c r="I43" s="82"/>
      <c r="J43" s="184"/>
      <c r="K43" s="185"/>
      <c r="L43" s="200"/>
      <c r="O43" s="191" t="e">
        <f t="shared" si="10"/>
        <v>#DIV/0!</v>
      </c>
      <c r="P43" s="37" t="str">
        <f t="shared" si="6"/>
        <v>日証金</v>
      </c>
      <c r="R43" s="34" t="str">
        <f t="shared" si="7"/>
        <v>開示</v>
      </c>
      <c r="S43" t="s">
        <v>1230</v>
      </c>
      <c r="T43" s="2">
        <v>0.00294</v>
      </c>
      <c r="U43" s="51">
        <v>1</v>
      </c>
      <c r="V43" s="219">
        <f t="shared" si="8"/>
        <v>-89.94940120857791</v>
      </c>
      <c r="W43">
        <v>19000</v>
      </c>
      <c r="X43">
        <f t="shared" si="9"/>
        <v>0</v>
      </c>
      <c r="Y43" t="s">
        <v>1828</v>
      </c>
    </row>
    <row r="44" spans="2:25" ht="13.5">
      <c r="B44" s="11" t="s">
        <v>622</v>
      </c>
      <c r="C44" s="67">
        <v>1639</v>
      </c>
      <c r="D44" s="16">
        <v>40254</v>
      </c>
      <c r="E44" s="19">
        <v>12283</v>
      </c>
      <c r="F44" s="25">
        <v>119</v>
      </c>
      <c r="G44" s="193">
        <v>3091000000</v>
      </c>
      <c r="H44" s="193">
        <v>3062000000</v>
      </c>
      <c r="I44" s="82"/>
      <c r="J44" s="184">
        <v>40254</v>
      </c>
      <c r="K44" s="185">
        <v>5</v>
      </c>
      <c r="L44" s="200">
        <v>1</v>
      </c>
      <c r="O44" s="191">
        <f t="shared" si="10"/>
        <v>1.48579337295449</v>
      </c>
      <c r="P44" s="37" t="str">
        <f t="shared" si="6"/>
        <v>日証金</v>
      </c>
      <c r="R44" s="34" t="str">
        <f t="shared" si="7"/>
        <v>開示</v>
      </c>
      <c r="S44" t="s">
        <v>1230</v>
      </c>
      <c r="T44" s="2">
        <v>0.00294</v>
      </c>
      <c r="U44" s="51">
        <v>1</v>
      </c>
      <c r="V44" s="219">
        <f t="shared" si="8"/>
        <v>-77.78574360668426</v>
      </c>
      <c r="W44">
        <v>17000</v>
      </c>
      <c r="X44">
        <f t="shared" si="9"/>
        <v>0</v>
      </c>
      <c r="Y44" t="s">
        <v>1831</v>
      </c>
    </row>
    <row r="45" spans="2:25" ht="13.5">
      <c r="B45" s="11" t="s">
        <v>623</v>
      </c>
      <c r="C45" s="67">
        <v>1640</v>
      </c>
      <c r="D45" s="16">
        <v>40254</v>
      </c>
      <c r="E45" s="19">
        <v>23334</v>
      </c>
      <c r="F45" s="25">
        <v>398</v>
      </c>
      <c r="G45" s="193">
        <v>1220000000</v>
      </c>
      <c r="H45" s="193">
        <v>1199000000</v>
      </c>
      <c r="I45" s="82"/>
      <c r="J45" s="184"/>
      <c r="K45" s="185"/>
      <c r="L45" s="200"/>
      <c r="O45" s="191" t="e">
        <f t="shared" si="10"/>
        <v>#DIV/0!</v>
      </c>
      <c r="P45" s="37" t="str">
        <f t="shared" si="6"/>
        <v>日証金</v>
      </c>
      <c r="R45" s="34" t="str">
        <f t="shared" si="7"/>
        <v>開示</v>
      </c>
      <c r="S45" t="s">
        <v>1230</v>
      </c>
      <c r="T45" s="2">
        <v>0.00294</v>
      </c>
      <c r="U45" s="51">
        <v>1</v>
      </c>
      <c r="V45" s="219">
        <f t="shared" si="8"/>
        <v>8.32229946651205</v>
      </c>
      <c r="W45">
        <v>7000</v>
      </c>
      <c r="X45">
        <f t="shared" si="9"/>
        <v>0</v>
      </c>
      <c r="Y45" t="s">
        <v>1832</v>
      </c>
    </row>
    <row r="46" spans="2:25" ht="13.5">
      <c r="B46" s="11" t="s">
        <v>624</v>
      </c>
      <c r="C46" s="67">
        <v>1641</v>
      </c>
      <c r="D46" s="16">
        <v>40254</v>
      </c>
      <c r="E46" s="19">
        <v>17996</v>
      </c>
      <c r="F46" s="25">
        <v>186</v>
      </c>
      <c r="G46" s="193">
        <v>1407000000</v>
      </c>
      <c r="H46" s="193">
        <v>1393000000</v>
      </c>
      <c r="I46" s="82"/>
      <c r="J46" s="184"/>
      <c r="K46" s="185"/>
      <c r="L46" s="200"/>
      <c r="O46" s="191" t="e">
        <f t="shared" si="10"/>
        <v>#DIV/0!</v>
      </c>
      <c r="P46" s="37" t="str">
        <f t="shared" si="6"/>
        <v>日証金</v>
      </c>
      <c r="R46" s="34" t="str">
        <f t="shared" si="7"/>
        <v>開示</v>
      </c>
      <c r="S46" t="s">
        <v>1230</v>
      </c>
      <c r="T46" s="2">
        <v>0.00294</v>
      </c>
      <c r="U46" s="51">
        <v>1</v>
      </c>
      <c r="V46" s="219">
        <f t="shared" si="8"/>
        <v>-30.445345705986256</v>
      </c>
      <c r="W46">
        <v>20000</v>
      </c>
      <c r="X46">
        <f t="shared" si="9"/>
        <v>0</v>
      </c>
      <c r="Y46" t="s">
        <v>1833</v>
      </c>
    </row>
    <row r="47" spans="2:25" ht="13.5">
      <c r="B47" s="11" t="s">
        <v>625</v>
      </c>
      <c r="C47" s="67">
        <v>1642</v>
      </c>
      <c r="D47" s="16">
        <v>40254</v>
      </c>
      <c r="E47" s="19">
        <v>10939</v>
      </c>
      <c r="F47" s="25">
        <v>159</v>
      </c>
      <c r="G47" s="193">
        <v>4949000000</v>
      </c>
      <c r="H47" s="193">
        <v>4877000000</v>
      </c>
      <c r="I47" s="82"/>
      <c r="J47" s="184"/>
      <c r="K47" s="185"/>
      <c r="L47" s="200"/>
      <c r="O47" s="191" t="e">
        <f t="shared" si="10"/>
        <v>#DIV/0!</v>
      </c>
      <c r="P47" s="37" t="str">
        <f t="shared" si="6"/>
        <v>日証金</v>
      </c>
      <c r="R47" s="34" t="str">
        <f t="shared" si="7"/>
        <v>開示</v>
      </c>
      <c r="S47" t="s">
        <v>1230</v>
      </c>
      <c r="T47" s="2">
        <v>0.00294</v>
      </c>
      <c r="U47" s="51">
        <v>1</v>
      </c>
      <c r="V47" s="219">
        <f t="shared" si="8"/>
        <v>6.0802687054965645</v>
      </c>
      <c r="W47">
        <v>60000</v>
      </c>
      <c r="X47">
        <f t="shared" si="9"/>
        <v>0</v>
      </c>
      <c r="Y47" t="s">
        <v>1834</v>
      </c>
    </row>
    <row r="48" spans="2:25" ht="13.5">
      <c r="B48" s="11" t="s">
        <v>626</v>
      </c>
      <c r="C48" s="67">
        <v>1643</v>
      </c>
      <c r="D48" s="16">
        <v>40254</v>
      </c>
      <c r="E48" s="19">
        <v>8930</v>
      </c>
      <c r="F48" s="25">
        <v>75</v>
      </c>
      <c r="G48" s="193">
        <v>2940000000</v>
      </c>
      <c r="H48" s="193">
        <v>2915000000</v>
      </c>
      <c r="I48" s="82"/>
      <c r="J48" s="184"/>
      <c r="K48" s="185"/>
      <c r="L48" s="200"/>
      <c r="O48" s="191" t="e">
        <f t="shared" si="10"/>
        <v>#DIV/0!</v>
      </c>
      <c r="P48" s="37" t="str">
        <f t="shared" si="6"/>
        <v>日証金</v>
      </c>
      <c r="R48" s="34" t="str">
        <f t="shared" si="7"/>
        <v>開示</v>
      </c>
      <c r="S48" t="s">
        <v>1230</v>
      </c>
      <c r="T48" s="2">
        <v>0.00294</v>
      </c>
      <c r="U48" s="51">
        <v>1</v>
      </c>
      <c r="V48" s="219">
        <f t="shared" si="8"/>
        <v>34.77704436855856</v>
      </c>
      <c r="W48">
        <v>43000</v>
      </c>
      <c r="X48">
        <f t="shared" si="9"/>
        <v>0</v>
      </c>
      <c r="Y48" t="s">
        <v>1835</v>
      </c>
    </row>
    <row r="49" spans="2:25" ht="13.5">
      <c r="B49" s="11" t="s">
        <v>627</v>
      </c>
      <c r="C49" s="67">
        <v>1644</v>
      </c>
      <c r="D49" s="16">
        <v>40254</v>
      </c>
      <c r="E49" s="19">
        <v>11514</v>
      </c>
      <c r="F49" s="25">
        <v>14</v>
      </c>
      <c r="G49" s="193">
        <v>1544000000</v>
      </c>
      <c r="H49" s="193">
        <v>1542000000</v>
      </c>
      <c r="I49" s="82"/>
      <c r="J49" s="184"/>
      <c r="K49" s="185"/>
      <c r="L49" s="200"/>
      <c r="O49" s="191" t="e">
        <f t="shared" si="10"/>
        <v>#DIV/0!</v>
      </c>
      <c r="P49" s="37" t="str">
        <f t="shared" si="6"/>
        <v>日証金</v>
      </c>
      <c r="R49" s="34" t="str">
        <f t="shared" si="7"/>
        <v>開示</v>
      </c>
      <c r="S49" t="s">
        <v>1230</v>
      </c>
      <c r="T49" s="2">
        <v>0.00294</v>
      </c>
      <c r="U49" s="51">
        <v>1</v>
      </c>
      <c r="V49" s="219">
        <f t="shared" si="8"/>
        <v>10.66376660548849</v>
      </c>
      <c r="W49">
        <v>6000</v>
      </c>
      <c r="X49">
        <f t="shared" si="9"/>
        <v>0</v>
      </c>
      <c r="Y49" t="s">
        <v>1836</v>
      </c>
    </row>
    <row r="50" spans="2:25" ht="13.5">
      <c r="B50" s="11" t="s">
        <v>628</v>
      </c>
      <c r="C50" s="67">
        <v>1645</v>
      </c>
      <c r="D50" s="16">
        <v>40254</v>
      </c>
      <c r="E50" s="19">
        <v>10250</v>
      </c>
      <c r="F50" s="25">
        <v>10</v>
      </c>
      <c r="G50" s="193">
        <v>1872000000</v>
      </c>
      <c r="H50" s="193">
        <v>1870000000</v>
      </c>
      <c r="I50" s="82"/>
      <c r="J50" s="184"/>
      <c r="K50" s="185"/>
      <c r="L50" s="200"/>
      <c r="O50" s="191" t="e">
        <f t="shared" si="10"/>
        <v>#DIV/0!</v>
      </c>
      <c r="P50" s="37" t="str">
        <f t="shared" si="6"/>
        <v>日証金</v>
      </c>
      <c r="R50" s="34" t="str">
        <f>HYPERLINK("http://company.nikkei.co.jp/disclose/disclose.aspx?scode="&amp;C50,"開示")</f>
        <v>開示</v>
      </c>
      <c r="S50" t="s">
        <v>1230</v>
      </c>
      <c r="T50" s="2">
        <v>0.00294</v>
      </c>
      <c r="U50" s="51">
        <v>1</v>
      </c>
      <c r="V50" s="219">
        <f t="shared" si="8"/>
        <v>16.958841463405406</v>
      </c>
      <c r="W50">
        <v>20000</v>
      </c>
      <c r="X50">
        <f t="shared" si="9"/>
        <v>0</v>
      </c>
      <c r="Y50" t="s">
        <v>1837</v>
      </c>
    </row>
    <row r="51" spans="2:25" ht="13.5">
      <c r="B51" s="11" t="s">
        <v>629</v>
      </c>
      <c r="C51" s="67">
        <v>1646</v>
      </c>
      <c r="D51" s="16">
        <v>40254</v>
      </c>
      <c r="E51" s="19">
        <v>21515</v>
      </c>
      <c r="F51" s="25">
        <v>159</v>
      </c>
      <c r="G51" s="193">
        <v>1507000000</v>
      </c>
      <c r="H51" s="193">
        <v>1496000000</v>
      </c>
      <c r="I51" s="82"/>
      <c r="J51" s="184"/>
      <c r="K51" s="185"/>
      <c r="L51" s="200"/>
      <c r="O51" s="191" t="e">
        <f t="shared" si="10"/>
        <v>#DIV/0!</v>
      </c>
      <c r="P51" s="37" t="str">
        <f t="shared" si="6"/>
        <v>日証金</v>
      </c>
      <c r="R51" s="34" t="str">
        <f t="shared" si="7"/>
        <v>開示</v>
      </c>
      <c r="S51" t="s">
        <v>1230</v>
      </c>
      <c r="T51" s="2">
        <v>0.00294</v>
      </c>
      <c r="U51" s="51">
        <v>1</v>
      </c>
      <c r="V51" s="219">
        <f t="shared" si="8"/>
        <v>-6.416027497863979</v>
      </c>
      <c r="W51">
        <v>16000</v>
      </c>
      <c r="X51">
        <f t="shared" si="9"/>
        <v>0</v>
      </c>
      <c r="Y51" t="s">
        <v>1838</v>
      </c>
    </row>
    <row r="52" spans="2:25" ht="13.5">
      <c r="B52" s="11" t="s">
        <v>630</v>
      </c>
      <c r="C52" s="67">
        <v>1647</v>
      </c>
      <c r="D52" s="16">
        <v>40254</v>
      </c>
      <c r="E52" s="19">
        <v>9267</v>
      </c>
      <c r="F52" s="25">
        <v>93</v>
      </c>
      <c r="G52" s="193">
        <v>788000000</v>
      </c>
      <c r="H52" s="193">
        <v>780000000</v>
      </c>
      <c r="I52" s="82"/>
      <c r="J52" s="184"/>
      <c r="K52" s="185"/>
      <c r="L52" s="200"/>
      <c r="O52" s="191" t="e">
        <f t="shared" si="10"/>
        <v>#DIV/0!</v>
      </c>
      <c r="P52" s="37" t="str">
        <f t="shared" si="6"/>
        <v>日証金</v>
      </c>
      <c r="R52" s="34" t="str">
        <f t="shared" si="7"/>
        <v>開示</v>
      </c>
      <c r="S52" t="s">
        <v>1230</v>
      </c>
      <c r="T52" s="2">
        <v>0.00294</v>
      </c>
      <c r="U52" s="51">
        <v>1</v>
      </c>
      <c r="V52" s="219">
        <f t="shared" si="8"/>
        <v>10.021706875952077</v>
      </c>
      <c r="W52">
        <v>32000</v>
      </c>
      <c r="X52">
        <f t="shared" si="9"/>
        <v>0</v>
      </c>
      <c r="Y52" t="s">
        <v>1839</v>
      </c>
    </row>
    <row r="53" spans="2:25" ht="13.5">
      <c r="B53" s="11" t="s">
        <v>631</v>
      </c>
      <c r="C53" s="67">
        <v>1648</v>
      </c>
      <c r="D53" s="16">
        <v>40254</v>
      </c>
      <c r="E53" s="19">
        <v>9052</v>
      </c>
      <c r="F53" s="25">
        <v>59</v>
      </c>
      <c r="G53" s="193">
        <v>2377000000</v>
      </c>
      <c r="H53" s="193">
        <v>2361000000</v>
      </c>
      <c r="I53" s="82"/>
      <c r="J53" s="184"/>
      <c r="K53" s="185"/>
      <c r="L53" s="200"/>
      <c r="O53" s="191" t="e">
        <f t="shared" si="10"/>
        <v>#DIV/0!</v>
      </c>
      <c r="P53" s="37" t="str">
        <f t="shared" si="6"/>
        <v>日証金</v>
      </c>
      <c r="R53" s="34" t="str">
        <f t="shared" si="7"/>
        <v>開示</v>
      </c>
      <c r="S53" t="s">
        <v>1230</v>
      </c>
      <c r="T53" s="2">
        <v>0.00294</v>
      </c>
      <c r="U53" s="51">
        <v>1</v>
      </c>
      <c r="V53" s="219">
        <f t="shared" si="8"/>
        <v>56.372710763069335</v>
      </c>
      <c r="W53">
        <v>30000</v>
      </c>
      <c r="X53">
        <f t="shared" si="9"/>
        <v>0</v>
      </c>
      <c r="Y53" t="s">
        <v>1840</v>
      </c>
    </row>
    <row r="54" spans="2:25" ht="13.5">
      <c r="B54" s="11" t="s">
        <v>586</v>
      </c>
      <c r="C54" s="67">
        <v>1649</v>
      </c>
      <c r="D54" s="16">
        <v>40254</v>
      </c>
      <c r="E54" s="19">
        <v>8607</v>
      </c>
      <c r="F54" s="25">
        <v>104</v>
      </c>
      <c r="G54" s="193">
        <v>1262000000</v>
      </c>
      <c r="H54" s="193">
        <v>1246000000</v>
      </c>
      <c r="I54" s="82"/>
      <c r="J54" s="184"/>
      <c r="K54" s="185"/>
      <c r="L54" s="200"/>
      <c r="O54" s="191" t="e">
        <f t="shared" si="10"/>
        <v>#DIV/0!</v>
      </c>
      <c r="P54" s="37" t="str">
        <f t="shared" si="6"/>
        <v>日証金</v>
      </c>
      <c r="R54" s="34" t="str">
        <f t="shared" si="7"/>
        <v>開示</v>
      </c>
      <c r="S54" t="s">
        <v>1230</v>
      </c>
      <c r="T54" s="2">
        <v>0.00294</v>
      </c>
      <c r="U54" s="51">
        <v>1</v>
      </c>
      <c r="V54" s="219">
        <f t="shared" si="8"/>
        <v>88.32372273123474</v>
      </c>
      <c r="W54">
        <v>10000</v>
      </c>
      <c r="X54">
        <f t="shared" si="9"/>
        <v>0</v>
      </c>
      <c r="Y54" t="s">
        <v>1841</v>
      </c>
    </row>
    <row r="55" spans="2:25" ht="13.5">
      <c r="B55" s="13" t="s">
        <v>587</v>
      </c>
      <c r="C55" s="68">
        <v>1650</v>
      </c>
      <c r="D55" s="17">
        <v>40254</v>
      </c>
      <c r="E55" s="20">
        <v>17586</v>
      </c>
      <c r="F55" s="26">
        <v>231</v>
      </c>
      <c r="G55" s="194">
        <v>675000000</v>
      </c>
      <c r="H55" s="194">
        <v>666000000</v>
      </c>
      <c r="I55" s="83"/>
      <c r="J55" s="184"/>
      <c r="K55" s="185"/>
      <c r="L55" s="200"/>
      <c r="O55" s="191" t="e">
        <f t="shared" si="10"/>
        <v>#DIV/0!</v>
      </c>
      <c r="P55" s="37" t="str">
        <f t="shared" si="6"/>
        <v>日証金</v>
      </c>
      <c r="R55" s="34" t="str">
        <f t="shared" si="7"/>
        <v>開示</v>
      </c>
      <c r="S55" t="s">
        <v>1230</v>
      </c>
      <c r="T55" s="2">
        <v>0.00294</v>
      </c>
      <c r="U55" s="51">
        <v>1</v>
      </c>
      <c r="V55" s="219">
        <f t="shared" si="8"/>
        <v>7.696465553010057</v>
      </c>
      <c r="W55">
        <v>6000</v>
      </c>
      <c r="X55">
        <f t="shared" si="9"/>
        <v>0</v>
      </c>
      <c r="Y55" t="s">
        <v>1842</v>
      </c>
    </row>
    <row r="56" ht="13.5">
      <c r="K56" s="186"/>
    </row>
    <row r="57" ht="13.5">
      <c r="K57" s="186"/>
    </row>
    <row r="58" ht="13.5">
      <c r="K58" s="186"/>
    </row>
    <row r="59" ht="13.5">
      <c r="K59" s="186"/>
    </row>
    <row r="60" ht="13.5">
      <c r="K60" s="186"/>
    </row>
    <row r="61" spans="2:17" ht="13.5">
      <c r="B61" t="s">
        <v>2025</v>
      </c>
      <c r="C61" t="s">
        <v>57</v>
      </c>
      <c r="D61" t="s">
        <v>28</v>
      </c>
      <c r="E61" t="s">
        <v>2041</v>
      </c>
      <c r="F61" t="s">
        <v>51</v>
      </c>
      <c r="G61" t="s">
        <v>1271</v>
      </c>
      <c r="H61" t="s">
        <v>1645</v>
      </c>
      <c r="I61" t="s">
        <v>1018</v>
      </c>
      <c r="J61" t="s">
        <v>1524</v>
      </c>
      <c r="K61" s="1" t="s">
        <v>1930</v>
      </c>
      <c r="L61" s="51" t="s">
        <v>1931</v>
      </c>
      <c r="Q61" t="s">
        <v>1647</v>
      </c>
    </row>
    <row r="62" spans="1:25" ht="14.25">
      <c r="A62" t="s">
        <v>26</v>
      </c>
      <c r="B62" s="9" t="s">
        <v>588</v>
      </c>
      <c r="C62" s="10">
        <v>1330</v>
      </c>
      <c r="D62" s="15">
        <v>40254</v>
      </c>
      <c r="E62" s="18">
        <v>11005</v>
      </c>
      <c r="F62" s="117">
        <v>127</v>
      </c>
      <c r="G62" s="195">
        <v>283493000000</v>
      </c>
      <c r="H62" s="195">
        <v>284463000000</v>
      </c>
      <c r="I62" s="81"/>
      <c r="J62" s="184"/>
      <c r="K62" s="185"/>
      <c r="L62" s="200"/>
      <c r="O62" s="191" t="e">
        <f>365*K62/L62/(E62-IF(D62=J62,0,F62))*1</f>
        <v>#DIV/0!</v>
      </c>
      <c r="P62" s="37" t="str">
        <f aca="true" t="shared" si="11" ref="P62:P72">HYPERLINK("http://www.jsf.co.jp/de/stock/data.php?target=balance&amp;div=%93%8C%8F%D8&amp;code="&amp;C62,"日証金")</f>
        <v>日証金</v>
      </c>
      <c r="Q62" t="s">
        <v>781</v>
      </c>
      <c r="R62" s="34" t="str">
        <f>HYPERLINK("http://company.nikkei.co.jp/disclose/disclose.aspx?scode="&amp;C62,"開示")</f>
        <v>開示</v>
      </c>
      <c r="S62" s="178">
        <v>40002</v>
      </c>
      <c r="T62" s="2">
        <v>0.002363</v>
      </c>
      <c r="U62" s="51">
        <v>1</v>
      </c>
      <c r="V62" s="219">
        <f aca="true" t="shared" si="12" ref="V62:V73">(G62/E62-H62/(E62-F62))*U62</f>
        <v>-389921.7198821306</v>
      </c>
      <c r="W62">
        <v>23740</v>
      </c>
      <c r="X62">
        <f aca="true" t="shared" si="13" ref="X62:X73">ROUND(V62/W62,0)</f>
        <v>-16</v>
      </c>
      <c r="Y62" t="s">
        <v>1901</v>
      </c>
    </row>
    <row r="63" spans="2:24" ht="14.25">
      <c r="B63" s="11" t="s">
        <v>589</v>
      </c>
      <c r="C63" s="12">
        <v>1308</v>
      </c>
      <c r="D63" s="16">
        <v>40254</v>
      </c>
      <c r="E63" s="19">
        <v>94053</v>
      </c>
      <c r="F63" s="118">
        <v>930</v>
      </c>
      <c r="G63" s="196">
        <v>199333000000</v>
      </c>
      <c r="H63" s="196">
        <v>197363000000</v>
      </c>
      <c r="I63" s="82"/>
      <c r="J63" s="184">
        <v>40254</v>
      </c>
      <c r="K63" s="185">
        <v>0.05</v>
      </c>
      <c r="L63" s="200">
        <v>1</v>
      </c>
      <c r="O63" s="191">
        <f>365*K63/L63/(E63-IF(D63=J63,0,F63))*100</f>
        <v>0.019403953090278883</v>
      </c>
      <c r="P63" s="37" t="str">
        <f t="shared" si="11"/>
        <v>日証金</v>
      </c>
      <c r="R63" s="34" t="str">
        <f aca="true" t="shared" si="14" ref="R63:R69">HYPERLINK("http://company.nikkei.co.jp/disclose/disclose.aspx?scode="&amp;C63,"開示")</f>
        <v>開示</v>
      </c>
      <c r="S63" s="178">
        <v>40002</v>
      </c>
      <c r="T63" s="2">
        <v>9.24E-05</v>
      </c>
      <c r="U63" s="51">
        <v>100</v>
      </c>
      <c r="V63" s="219">
        <f t="shared" si="12"/>
        <v>-1087.857817998156</v>
      </c>
      <c r="W63">
        <v>5000000</v>
      </c>
      <c r="X63">
        <f t="shared" si="13"/>
        <v>0</v>
      </c>
    </row>
    <row r="64" spans="2:24" ht="14.25">
      <c r="B64" s="11" t="s">
        <v>590</v>
      </c>
      <c r="C64" s="12">
        <v>1314</v>
      </c>
      <c r="D64" s="16">
        <v>40254</v>
      </c>
      <c r="E64" s="19">
        <v>59998</v>
      </c>
      <c r="F64" s="118">
        <v>388</v>
      </c>
      <c r="G64" s="196">
        <v>445000000</v>
      </c>
      <c r="H64" s="196">
        <v>442000000</v>
      </c>
      <c r="I64" s="82"/>
      <c r="J64" s="184"/>
      <c r="K64" s="185"/>
      <c r="L64" s="200"/>
      <c r="O64" s="191" t="e">
        <f>365*K64/L64/(E64-IF(D64=J64,0,F64))*100</f>
        <v>#DIV/0!</v>
      </c>
      <c r="P64" s="37" t="str">
        <f t="shared" si="11"/>
        <v>日証金</v>
      </c>
      <c r="R64" s="34" t="str">
        <f t="shared" si="14"/>
        <v>開示</v>
      </c>
      <c r="S64" s="178">
        <v>40002</v>
      </c>
      <c r="T64" s="2">
        <v>0.00525</v>
      </c>
      <c r="U64" s="51">
        <v>100</v>
      </c>
      <c r="V64" s="219">
        <f t="shared" si="12"/>
        <v>205.06191564099936</v>
      </c>
      <c r="W64">
        <v>350000</v>
      </c>
      <c r="X64">
        <f t="shared" si="13"/>
        <v>0</v>
      </c>
    </row>
    <row r="65" spans="2:24" ht="14.25">
      <c r="B65" s="11" t="s">
        <v>591</v>
      </c>
      <c r="C65" s="12">
        <v>1316</v>
      </c>
      <c r="D65" s="16">
        <v>40254</v>
      </c>
      <c r="E65" s="19">
        <v>68204</v>
      </c>
      <c r="F65" s="118">
        <v>680</v>
      </c>
      <c r="G65" s="196">
        <v>15919000000</v>
      </c>
      <c r="H65" s="196">
        <v>15761000000</v>
      </c>
      <c r="I65" s="82"/>
      <c r="J65" s="184"/>
      <c r="K65" s="185"/>
      <c r="L65" s="200"/>
      <c r="O65" s="191" t="e">
        <f>365*K65/L65/(E65-IF(D65=J65,0,F65))*100</f>
        <v>#DIV/0!</v>
      </c>
      <c r="P65" s="37" t="str">
        <f t="shared" si="11"/>
        <v>日証金</v>
      </c>
      <c r="R65" s="34" t="str">
        <f t="shared" si="14"/>
        <v>開示</v>
      </c>
      <c r="S65" s="178">
        <v>40002</v>
      </c>
      <c r="T65" s="2">
        <v>0.0021</v>
      </c>
      <c r="U65" s="51">
        <v>100</v>
      </c>
      <c r="V65" s="219">
        <f t="shared" si="12"/>
        <v>-1057.1921460912563</v>
      </c>
      <c r="W65">
        <v>1000000</v>
      </c>
      <c r="X65">
        <f t="shared" si="13"/>
        <v>0</v>
      </c>
    </row>
    <row r="66" spans="2:24" ht="14.25">
      <c r="B66" s="11" t="s">
        <v>592</v>
      </c>
      <c r="C66" s="12">
        <v>1317</v>
      </c>
      <c r="D66" s="16">
        <v>40254</v>
      </c>
      <c r="E66" s="19">
        <v>96422</v>
      </c>
      <c r="F66" s="118">
        <v>973</v>
      </c>
      <c r="G66" s="196">
        <v>806000000</v>
      </c>
      <c r="H66" s="196">
        <v>797000000</v>
      </c>
      <c r="I66" s="82"/>
      <c r="J66" s="184"/>
      <c r="K66" s="185"/>
      <c r="L66" s="200"/>
      <c r="O66" s="191" t="e">
        <f>365*K66/L66/(E66-IF(D66=J66,0,F66))*100</f>
        <v>#DIV/0!</v>
      </c>
      <c r="P66" s="37" t="str">
        <f t="shared" si="11"/>
        <v>日証金</v>
      </c>
      <c r="R66" s="34" t="str">
        <f t="shared" si="14"/>
        <v>開示</v>
      </c>
      <c r="S66" s="178">
        <v>40002</v>
      </c>
      <c r="T66" s="2">
        <v>0.00525</v>
      </c>
      <c r="U66" s="51">
        <v>100</v>
      </c>
      <c r="V66" s="219">
        <f t="shared" si="12"/>
        <v>907.9269618585386</v>
      </c>
      <c r="W66">
        <v>773000</v>
      </c>
      <c r="X66">
        <f t="shared" si="13"/>
        <v>0</v>
      </c>
    </row>
    <row r="67" spans="2:24" ht="14.25">
      <c r="B67" s="11" t="s">
        <v>593</v>
      </c>
      <c r="C67" s="12">
        <v>1318</v>
      </c>
      <c r="D67" s="16">
        <v>40254</v>
      </c>
      <c r="E67" s="19">
        <v>94485</v>
      </c>
      <c r="F67" s="118">
        <v>821</v>
      </c>
      <c r="G67" s="196">
        <v>866000000</v>
      </c>
      <c r="H67" s="196">
        <v>858000000</v>
      </c>
      <c r="I67" s="82"/>
      <c r="J67" s="184"/>
      <c r="K67" s="185"/>
      <c r="L67" s="200"/>
      <c r="O67" s="191" t="e">
        <f>365*K67/L67/(E67-IF(D67=J67,0,F67))*100</f>
        <v>#DIV/0!</v>
      </c>
      <c r="P67" s="37" t="str">
        <f t="shared" si="11"/>
        <v>日証金</v>
      </c>
      <c r="R67" s="34" t="str">
        <f t="shared" si="14"/>
        <v>開示</v>
      </c>
      <c r="S67" s="178">
        <v>40002</v>
      </c>
      <c r="T67" s="2">
        <v>0.00525</v>
      </c>
      <c r="U67" s="51">
        <v>100</v>
      </c>
      <c r="V67" s="219">
        <f t="shared" si="12"/>
        <v>507.2858331734096</v>
      </c>
      <c r="W67">
        <v>860000</v>
      </c>
      <c r="X67">
        <f t="shared" si="13"/>
        <v>0</v>
      </c>
    </row>
    <row r="68" spans="2:24" ht="14.25">
      <c r="B68" s="129" t="s">
        <v>594</v>
      </c>
      <c r="C68" s="12">
        <v>1322</v>
      </c>
      <c r="D68" s="16">
        <v>40254</v>
      </c>
      <c r="E68" s="118">
        <v>3826</v>
      </c>
      <c r="F68" s="118">
        <v>33</v>
      </c>
      <c r="G68" s="196">
        <v>7575000000</v>
      </c>
      <c r="H68" s="196">
        <v>7510000000</v>
      </c>
      <c r="I68" s="82"/>
      <c r="J68" s="184"/>
      <c r="K68" s="185"/>
      <c r="L68" s="200"/>
      <c r="O68" s="191" t="e">
        <f>365*K68/L68/(E98-IF(D86=J86,0,F86))*1</f>
        <v>#DIV/0!</v>
      </c>
      <c r="P68" s="37" t="str">
        <f t="shared" si="11"/>
        <v>日証金</v>
      </c>
      <c r="R68" s="111" t="str">
        <f t="shared" si="14"/>
        <v>開示</v>
      </c>
      <c r="S68" s="178">
        <v>40198</v>
      </c>
      <c r="T68" s="2">
        <v>0.009975</v>
      </c>
      <c r="U68" s="51">
        <v>1</v>
      </c>
      <c r="V68" s="219">
        <f t="shared" si="12"/>
        <v>-88.54729921091348</v>
      </c>
      <c r="W68">
        <v>100000</v>
      </c>
      <c r="X68">
        <f t="shared" si="13"/>
        <v>0</v>
      </c>
    </row>
    <row r="69" spans="2:25" ht="14.25">
      <c r="B69" s="11" t="s">
        <v>595</v>
      </c>
      <c r="C69" s="67">
        <v>1345</v>
      </c>
      <c r="D69" s="16">
        <v>40254</v>
      </c>
      <c r="E69" s="118">
        <v>93161</v>
      </c>
      <c r="F69" s="118">
        <v>420</v>
      </c>
      <c r="G69" s="196">
        <v>2405000000</v>
      </c>
      <c r="H69" s="196">
        <v>2238000000</v>
      </c>
      <c r="I69" s="82"/>
      <c r="J69" s="184"/>
      <c r="K69" s="185"/>
      <c r="L69" s="200"/>
      <c r="M69" s="181"/>
      <c r="N69" s="181"/>
      <c r="O69" s="191" t="e">
        <f>365*K69/L69/(E69-IF(D69=J69,0,F69))*100</f>
        <v>#DIV/0!</v>
      </c>
      <c r="P69" s="37" t="str">
        <f t="shared" si="11"/>
        <v>日証金</v>
      </c>
      <c r="R69" s="111" t="str">
        <f t="shared" si="14"/>
        <v>開示</v>
      </c>
      <c r="S69" s="62" t="s">
        <v>1613</v>
      </c>
      <c r="T69" s="2">
        <v>0.00315</v>
      </c>
      <c r="U69" s="51">
        <v>100</v>
      </c>
      <c r="V69" s="219">
        <f t="shared" si="12"/>
        <v>168380.19868386036</v>
      </c>
      <c r="W69">
        <v>162431</v>
      </c>
      <c r="X69">
        <f t="shared" si="13"/>
        <v>1</v>
      </c>
      <c r="Y69" t="s">
        <v>1899</v>
      </c>
    </row>
    <row r="70" spans="2:25" ht="14.25">
      <c r="B70" s="11" t="s">
        <v>596</v>
      </c>
      <c r="C70" s="67">
        <v>1347</v>
      </c>
      <c r="D70" s="16">
        <v>40254</v>
      </c>
      <c r="E70" s="118">
        <v>346876</v>
      </c>
      <c r="F70" s="118">
        <v>4754</v>
      </c>
      <c r="G70" s="196">
        <v>1527000000</v>
      </c>
      <c r="H70" s="196">
        <v>1506000000</v>
      </c>
      <c r="I70" s="82"/>
      <c r="J70" s="184"/>
      <c r="K70" s="185"/>
      <c r="L70" s="200"/>
      <c r="O70" s="191" t="e">
        <f>365*K70/L70/(E70-IF(D70=J70,0,F70))*100</f>
        <v>#DIV/0!</v>
      </c>
      <c r="P70" s="37" t="str">
        <f t="shared" si="11"/>
        <v>日証金</v>
      </c>
      <c r="R70" s="111" t="str">
        <f>HYPERLINK("http://company.nikkei.co.jp/disclose/disclose.aspx?scode="&amp;C70,"開示")</f>
        <v>開示</v>
      </c>
      <c r="S70" s="62" t="s">
        <v>1614</v>
      </c>
      <c r="T70" s="2">
        <v>0.0042</v>
      </c>
      <c r="U70" s="51">
        <v>100</v>
      </c>
      <c r="V70" s="219">
        <f t="shared" si="12"/>
        <v>21.098150230318424</v>
      </c>
      <c r="W70">
        <v>92138</v>
      </c>
      <c r="X70">
        <f t="shared" si="13"/>
        <v>0</v>
      </c>
      <c r="Y70" t="s">
        <v>1897</v>
      </c>
    </row>
    <row r="71" spans="2:25" ht="13.5">
      <c r="B71" s="11" t="s">
        <v>597</v>
      </c>
      <c r="C71" s="67">
        <v>1677</v>
      </c>
      <c r="D71" s="16">
        <v>40254</v>
      </c>
      <c r="E71" s="118">
        <v>48662</v>
      </c>
      <c r="F71" s="118">
        <v>410</v>
      </c>
      <c r="G71" s="196">
        <v>1946000000</v>
      </c>
      <c r="H71" s="196">
        <v>1930000000</v>
      </c>
      <c r="I71" s="82"/>
      <c r="J71" s="184"/>
      <c r="K71" s="185"/>
      <c r="L71" s="200"/>
      <c r="O71" s="191" t="e">
        <f>365*K71/L71/(E71-IF(D71=J71,0,F71))*10</f>
        <v>#DIV/0!</v>
      </c>
      <c r="P71" s="37" t="str">
        <f t="shared" si="11"/>
        <v>日証金</v>
      </c>
      <c r="R71" s="111" t="str">
        <f>HYPERLINK("http://company.nikkei.co.jp/disclose/disclose.aspx?scode="&amp;C71,"開示")</f>
        <v>開示</v>
      </c>
      <c r="S71" s="45" t="s">
        <v>388</v>
      </c>
      <c r="T71" s="2">
        <v>0.002625</v>
      </c>
      <c r="U71" s="51">
        <v>1</v>
      </c>
      <c r="V71" s="219">
        <f t="shared" si="12"/>
        <v>-8.205997193508665</v>
      </c>
      <c r="W71">
        <v>10000</v>
      </c>
      <c r="X71">
        <f t="shared" si="13"/>
        <v>0</v>
      </c>
      <c r="Y71" t="s">
        <v>1854</v>
      </c>
    </row>
    <row r="72" spans="2:24" ht="13.5">
      <c r="B72" s="11" t="s">
        <v>598</v>
      </c>
      <c r="C72" s="67">
        <v>1680</v>
      </c>
      <c r="D72" s="16">
        <v>40254</v>
      </c>
      <c r="E72" s="118">
        <v>104641</v>
      </c>
      <c r="F72" s="118">
        <v>1359</v>
      </c>
      <c r="G72" s="204">
        <v>1046000000</v>
      </c>
      <c r="H72" s="204">
        <v>1032000000</v>
      </c>
      <c r="I72" s="82"/>
      <c r="J72" s="184"/>
      <c r="K72" s="185"/>
      <c r="L72" s="200"/>
      <c r="O72" s="191" t="e">
        <f>365*K72/L72/(E72-IF(D72=J72,0,F72))*10</f>
        <v>#DIV/0!</v>
      </c>
      <c r="P72" s="37" t="str">
        <f t="shared" si="11"/>
        <v>日証金</v>
      </c>
      <c r="R72" s="111" t="str">
        <f>HYPERLINK("http://company.nikkei.co.jp/disclose/disclose.aspx?scode="&amp;C72,"開示")</f>
        <v>開示</v>
      </c>
      <c r="S72" s="3">
        <v>40563</v>
      </c>
      <c r="T72" s="2">
        <v>0.002625</v>
      </c>
      <c r="U72" s="51">
        <v>10</v>
      </c>
      <c r="V72" s="219">
        <f t="shared" si="12"/>
        <v>40.212696994167345</v>
      </c>
      <c r="W72">
        <v>100000</v>
      </c>
      <c r="X72">
        <f t="shared" si="13"/>
        <v>0</v>
      </c>
    </row>
    <row r="73" spans="2:24" ht="13.5">
      <c r="B73" s="13" t="s">
        <v>1730</v>
      </c>
      <c r="C73" s="14">
        <v>1681</v>
      </c>
      <c r="D73" s="17">
        <v>40254</v>
      </c>
      <c r="E73" s="119">
        <v>111684</v>
      </c>
      <c r="F73" s="119">
        <v>1118</v>
      </c>
      <c r="G73" s="205">
        <v>1116000000</v>
      </c>
      <c r="H73" s="205">
        <v>1105000000</v>
      </c>
      <c r="I73" s="83"/>
      <c r="J73" s="184"/>
      <c r="K73" s="185"/>
      <c r="L73" s="200"/>
      <c r="O73" s="191" t="e">
        <f>365*K73/L73/(E73-IF(D73=J73,0,F73))*10</f>
        <v>#DIV/0!</v>
      </c>
      <c r="P73" s="37" t="str">
        <f>HYPERLINK("http://www.jsf.co.jp/de/stock/data.php?target=balance&amp;div=%93%8C%8F%D8&amp;code="&amp;C73,"日証金")</f>
        <v>日証金</v>
      </c>
      <c r="R73" s="111" t="str">
        <f>HYPERLINK("http://company.nikkei.co.jp/disclose/disclose.aspx?scode="&amp;C73,"開示")</f>
        <v>開示</v>
      </c>
      <c r="S73" s="3">
        <v>40563</v>
      </c>
      <c r="T73" s="2">
        <v>0.002625</v>
      </c>
      <c r="U73" s="51">
        <v>10</v>
      </c>
      <c r="V73" s="219">
        <f t="shared" si="12"/>
        <v>-15.519352729061211</v>
      </c>
      <c r="W73">
        <v>100000</v>
      </c>
      <c r="X73">
        <f t="shared" si="13"/>
        <v>0</v>
      </c>
    </row>
    <row r="74" spans="4:11" ht="13.5">
      <c r="D74" s="3"/>
      <c r="E74" s="98"/>
      <c r="F74" s="98"/>
      <c r="G74" s="98"/>
      <c r="H74" s="98"/>
      <c r="K74" s="186"/>
    </row>
    <row r="75" spans="2:17" ht="13.5">
      <c r="B75" t="s">
        <v>2025</v>
      </c>
      <c r="C75" t="s">
        <v>57</v>
      </c>
      <c r="D75" t="s">
        <v>28</v>
      </c>
      <c r="E75" t="s">
        <v>2041</v>
      </c>
      <c r="F75" t="s">
        <v>51</v>
      </c>
      <c r="G75" t="s">
        <v>1271</v>
      </c>
      <c r="H75" t="s">
        <v>1645</v>
      </c>
      <c r="I75" t="s">
        <v>1018</v>
      </c>
      <c r="J75" t="s">
        <v>1524</v>
      </c>
      <c r="K75" s="1" t="s">
        <v>1930</v>
      </c>
      <c r="L75" s="51" t="s">
        <v>1931</v>
      </c>
      <c r="Q75" t="s">
        <v>1647</v>
      </c>
    </row>
    <row r="76" spans="1:25" ht="13.5">
      <c r="A76" t="s">
        <v>1020</v>
      </c>
      <c r="B76" s="9" t="s">
        <v>601</v>
      </c>
      <c r="C76" s="10">
        <v>1344</v>
      </c>
      <c r="D76" s="15">
        <v>40254</v>
      </c>
      <c r="E76" s="18">
        <v>54044</v>
      </c>
      <c r="F76" s="117">
        <v>468</v>
      </c>
      <c r="G76" s="195">
        <v>26192000000</v>
      </c>
      <c r="H76" s="195">
        <v>25965000000</v>
      </c>
      <c r="I76" s="206"/>
      <c r="J76" s="184"/>
      <c r="K76" s="185"/>
      <c r="L76" s="200"/>
      <c r="O76" s="191" t="e">
        <f>365*K76/L76/(E76-IF(D76=J76,0,F76))*100</f>
        <v>#DIV/0!</v>
      </c>
      <c r="P76" s="37" t="str">
        <f>HYPERLINK("http://www.jsf.co.jp/de/stock/data.php?target=balance&amp;div=%93%8C%8F%D8&amp;code="&amp;C76,"日証金")</f>
        <v>日証金</v>
      </c>
      <c r="R76" s="34" t="str">
        <f>HYPERLINK("http://company.nikkei.co.jp/disclose/disclose.aspx?scode="&amp;C76,"開示")</f>
        <v>開示</v>
      </c>
      <c r="S76" t="s">
        <v>736</v>
      </c>
      <c r="T76" s="2">
        <v>0.001995</v>
      </c>
      <c r="U76" s="51">
        <v>100</v>
      </c>
      <c r="V76" s="219">
        <f>(G76/E76-H76/(E76-F76))*U76</f>
        <v>349.9269648687914</v>
      </c>
      <c r="W76">
        <v>1000000</v>
      </c>
      <c r="X76">
        <f>ROUND(V76/W76,0)</f>
        <v>0</v>
      </c>
      <c r="Y76" t="s">
        <v>1900</v>
      </c>
    </row>
    <row r="77" spans="2:25" ht="13.5">
      <c r="B77" s="11" t="s">
        <v>602</v>
      </c>
      <c r="C77" s="12">
        <v>1346</v>
      </c>
      <c r="D77" s="16">
        <v>40254</v>
      </c>
      <c r="E77" s="19">
        <v>10881</v>
      </c>
      <c r="F77" s="118">
        <v>126</v>
      </c>
      <c r="G77" s="196">
        <v>17461000000</v>
      </c>
      <c r="H77" s="196">
        <v>17260000000</v>
      </c>
      <c r="I77" s="207"/>
      <c r="J77" s="184">
        <v>40254</v>
      </c>
      <c r="K77" s="185">
        <v>5</v>
      </c>
      <c r="L77" s="200">
        <v>1</v>
      </c>
      <c r="O77" s="191">
        <f>365*K77/L77/(E77-IF(D77=J77,0,F77))*1</f>
        <v>0.16772355482032902</v>
      </c>
      <c r="P77" s="37"/>
      <c r="R77" s="34" t="str">
        <f>HYPERLINK("http://company.nikkei.co.jp/disclose/disclose.aspx?scode="&amp;C77,"開示")</f>
        <v>開示</v>
      </c>
      <c r="S77" t="s">
        <v>737</v>
      </c>
      <c r="T77" s="2">
        <v>0.001785</v>
      </c>
      <c r="U77" s="51">
        <v>1</v>
      </c>
      <c r="V77" s="219">
        <f>(G77/E77-H77/(E77-F77))*U77</f>
        <v>-111.12995321396738</v>
      </c>
      <c r="W77">
        <v>24600</v>
      </c>
      <c r="X77">
        <f>ROUND(V77/W77,0)</f>
        <v>0</v>
      </c>
      <c r="Y77" t="s">
        <v>1898</v>
      </c>
    </row>
    <row r="78" spans="2:25" ht="13.5">
      <c r="B78" s="11" t="s">
        <v>603</v>
      </c>
      <c r="C78" s="12">
        <v>1348</v>
      </c>
      <c r="D78" s="16">
        <v>40254</v>
      </c>
      <c r="E78" s="19">
        <v>94630</v>
      </c>
      <c r="F78" s="118">
        <v>934</v>
      </c>
      <c r="G78" s="196">
        <v>8523000000</v>
      </c>
      <c r="H78" s="196">
        <v>8439000000</v>
      </c>
      <c r="I78" s="207"/>
      <c r="J78" s="184"/>
      <c r="K78" s="185"/>
      <c r="L78" s="200"/>
      <c r="O78" s="191" t="e">
        <f>365*K78/L78/(E78-IF(D78=J78,0,F78))*100</f>
        <v>#DIV/0!</v>
      </c>
      <c r="P78" s="37" t="str">
        <f>HYPERLINK("http://www.jsf.co.jp/de/stock/data.php?target=balance&amp;div=%93%8C%8F%D8&amp;code="&amp;C78,"日証金")</f>
        <v>日証金</v>
      </c>
      <c r="R78" s="34" t="str">
        <f>HYPERLINK("http://company.nikkei.co.jp/disclose/disclose.aspx?scode="&amp;C78,"開示")</f>
        <v>開示</v>
      </c>
      <c r="S78" t="s">
        <v>737</v>
      </c>
      <c r="T78" s="2">
        <v>0.000819</v>
      </c>
      <c r="U78" s="51">
        <v>100</v>
      </c>
      <c r="V78" s="219">
        <f>(G78/E78-H78/(E78-F78))*U78</f>
        <v>-130.40164627454942</v>
      </c>
      <c r="W78">
        <v>3000000</v>
      </c>
      <c r="X78">
        <f>ROUND(V78/W78,0)</f>
        <v>0</v>
      </c>
      <c r="Y78" t="s">
        <v>1896</v>
      </c>
    </row>
    <row r="79" spans="2:25" ht="13.5">
      <c r="B79" s="13" t="s">
        <v>604</v>
      </c>
      <c r="C79" s="14">
        <v>1670</v>
      </c>
      <c r="D79" s="17">
        <v>40254</v>
      </c>
      <c r="E79" s="20">
        <v>10768</v>
      </c>
      <c r="F79" s="119">
        <v>134</v>
      </c>
      <c r="G79" s="197">
        <v>56995000000</v>
      </c>
      <c r="H79" s="197">
        <v>56286000000</v>
      </c>
      <c r="I79" s="208"/>
      <c r="J79" s="184"/>
      <c r="K79" s="185"/>
      <c r="L79" s="200"/>
      <c r="O79" s="191" t="e">
        <f>365*K79/L79/(E79-IF(D79=J79,0,F79))*100</f>
        <v>#DIV/0!</v>
      </c>
      <c r="P79" s="37" t="str">
        <f>HYPERLINK("http://www.jsf.co.jp/de/stock/data.php?target=balance&amp;div=%93%8C%8F%D8&amp;code="&amp;C79,"日証金")</f>
        <v>日証金</v>
      </c>
      <c r="R79" s="34" t="str">
        <f>HYPERLINK("http://company.nikkei.co.jp/disclose/disclose.aspx?scode="&amp;C79,"開示")</f>
        <v>開示</v>
      </c>
      <c r="S79" t="s">
        <v>737</v>
      </c>
      <c r="T79" s="2">
        <v>0.00525</v>
      </c>
      <c r="U79" s="51">
        <v>100</v>
      </c>
      <c r="V79" s="219">
        <f>(G79/E79-H79/(E79-F79))*U79</f>
        <v>-2460.986809246242</v>
      </c>
      <c r="W79">
        <v>10000000</v>
      </c>
      <c r="X79">
        <f>ROUND(V79/W79,0)</f>
        <v>0</v>
      </c>
      <c r="Y79" t="s">
        <v>1843</v>
      </c>
    </row>
    <row r="80" spans="2:15" ht="13.5">
      <c r="B80" s="12"/>
      <c r="C80" s="12"/>
      <c r="D80" s="16"/>
      <c r="E80" s="39"/>
      <c r="F80" s="80"/>
      <c r="G80" s="80"/>
      <c r="H80" s="80"/>
      <c r="I80" s="98"/>
      <c r="J80" s="98"/>
      <c r="K80" s="186"/>
      <c r="O80" s="89"/>
    </row>
    <row r="81" spans="2:11" ht="13.5">
      <c r="B81" s="12"/>
      <c r="C81" s="12"/>
      <c r="D81" s="16"/>
      <c r="E81" s="39"/>
      <c r="F81" s="80"/>
      <c r="G81" s="80"/>
      <c r="H81" s="80"/>
      <c r="K81" s="186"/>
    </row>
    <row r="82" spans="2:17" ht="13.5">
      <c r="B82" t="s">
        <v>2025</v>
      </c>
      <c r="C82" t="s">
        <v>57</v>
      </c>
      <c r="D82" t="s">
        <v>28</v>
      </c>
      <c r="E82" t="s">
        <v>2041</v>
      </c>
      <c r="F82" t="s">
        <v>51</v>
      </c>
      <c r="G82" t="s">
        <v>1271</v>
      </c>
      <c r="H82" t="s">
        <v>1645</v>
      </c>
      <c r="I82" t="s">
        <v>1018</v>
      </c>
      <c r="J82" t="s">
        <v>1524</v>
      </c>
      <c r="K82" s="1" t="s">
        <v>1930</v>
      </c>
      <c r="L82" s="51" t="s">
        <v>1931</v>
      </c>
      <c r="Q82" t="s">
        <v>1647</v>
      </c>
    </row>
    <row r="83" spans="1:25" ht="13.5">
      <c r="A83" t="s">
        <v>1571</v>
      </c>
      <c r="B83" s="143" t="s">
        <v>599</v>
      </c>
      <c r="C83" s="144">
        <v>1329</v>
      </c>
      <c r="D83" s="145">
        <v>40254</v>
      </c>
      <c r="E83" s="146">
        <v>10931</v>
      </c>
      <c r="F83" s="147">
        <v>126</v>
      </c>
      <c r="G83" s="198">
        <v>5006000000</v>
      </c>
      <c r="H83" s="198">
        <v>4948000000</v>
      </c>
      <c r="I83" s="148"/>
      <c r="J83" s="184">
        <v>40254</v>
      </c>
      <c r="K83" s="185">
        <v>0.5</v>
      </c>
      <c r="L83" s="200">
        <v>1</v>
      </c>
      <c r="O83" s="191">
        <f>365*K83/L83/(E83-IF(D83=J83,0,F83))*1</f>
        <v>0.016695636263836796</v>
      </c>
      <c r="P83" s="37" t="str">
        <f>HYPERLINK("http://www.jsf.co.jp/de/stock/data.php?target=balance&amp;div=%93%8C%8F%D8&amp;code="&amp;C83,"日証金")</f>
        <v>日証金</v>
      </c>
      <c r="R83" s="34" t="str">
        <f>HYPERLINK("http://company.nikkei.co.jp/disclose/disclose.aspx?scode="&amp;C83,"開示")</f>
        <v>開示</v>
      </c>
      <c r="S83" s="71">
        <v>40035</v>
      </c>
      <c r="T83" s="2">
        <v>0.00315</v>
      </c>
      <c r="U83" s="51">
        <v>1</v>
      </c>
      <c r="V83" s="219">
        <f>(G83/E83-H83/(E83-F83))*U83</f>
        <v>27.449114890943747</v>
      </c>
      <c r="W83">
        <v>24500</v>
      </c>
      <c r="X83">
        <f>ROUND(V83/W83,0)</f>
        <v>0</v>
      </c>
      <c r="Y83" t="s">
        <v>1902</v>
      </c>
    </row>
    <row r="84" ht="13.5">
      <c r="K84" s="186"/>
    </row>
    <row r="85" spans="3:11" ht="13.5">
      <c r="C85" t="s">
        <v>57</v>
      </c>
      <c r="D85" t="s">
        <v>28</v>
      </c>
      <c r="E85" t="s">
        <v>2041</v>
      </c>
      <c r="F85" t="s">
        <v>1019</v>
      </c>
      <c r="G85" t="s">
        <v>1271</v>
      </c>
      <c r="H85" t="s">
        <v>1645</v>
      </c>
      <c r="K85" s="1"/>
    </row>
    <row r="86" spans="1:22" ht="13.5">
      <c r="A86" t="s">
        <v>1937</v>
      </c>
      <c r="B86" s="9" t="s">
        <v>999</v>
      </c>
      <c r="C86" s="10">
        <v>1322</v>
      </c>
      <c r="D86" s="106">
        <v>40254</v>
      </c>
      <c r="E86" s="107">
        <v>3825.75610351562</v>
      </c>
      <c r="F86" s="107">
        <v>42452.6015625</v>
      </c>
      <c r="G86" s="199">
        <v>7575302962</v>
      </c>
      <c r="H86" s="214">
        <v>42452.6015625</v>
      </c>
      <c r="K86" s="1"/>
      <c r="O86" s="191" t="e">
        <f>365*K86/L86/(E86-IF(D86=J86,0,F86))*1</f>
        <v>#DIV/0!</v>
      </c>
      <c r="P86" s="37" t="str">
        <f>HYPERLINK("http://www.jsf.co.jp/de/stock/data.php?target=balance&amp;div=%93%8C%8F%D8&amp;code="&amp;C86,"日証金")</f>
        <v>日証金</v>
      </c>
      <c r="R86" s="34" t="str">
        <f>HYPERLINK("http://company.nikkei.co.jp/disclose/disclose.aspx?scode="&amp;C86,"開示")</f>
        <v>開示</v>
      </c>
      <c r="S86" s="71">
        <v>39833</v>
      </c>
      <c r="T86" s="2">
        <f>T68</f>
        <v>0.009975</v>
      </c>
      <c r="V86" s="2"/>
    </row>
    <row r="87" spans="1:22" ht="13.5">
      <c r="A87" t="s">
        <v>1726</v>
      </c>
      <c r="B87" s="11" t="s">
        <v>1727</v>
      </c>
      <c r="C87" s="12">
        <v>1680</v>
      </c>
      <c r="D87" s="201">
        <v>40254</v>
      </c>
      <c r="E87" s="190">
        <v>1046.40795898437</v>
      </c>
      <c r="F87" s="190">
        <v>106673.8515625</v>
      </c>
      <c r="G87" s="211">
        <v>1046408011</v>
      </c>
      <c r="H87" s="215">
        <v>106673.8515625</v>
      </c>
      <c r="K87" s="1"/>
      <c r="O87" s="191" t="e">
        <f>365*K87/L87/(E87-IF(D87=J87,0,F87))*1</f>
        <v>#DIV/0!</v>
      </c>
      <c r="P87" s="37" t="str">
        <f>HYPERLINK("http://www.jsf.co.jp/de/stock/data.php?target=balance&amp;div=%93%8C%8F%D8&amp;code="&amp;C87,"日証金")</f>
        <v>日証金</v>
      </c>
      <c r="R87" s="34" t="str">
        <f>HYPERLINK("http://company.nikkei.co.jp/disclose/disclose.aspx?scode="&amp;C87,"開示")</f>
        <v>開示</v>
      </c>
      <c r="S87" s="71"/>
      <c r="T87" s="2"/>
      <c r="V87" s="2"/>
    </row>
    <row r="88" spans="1:22" ht="13.5">
      <c r="A88" t="s">
        <v>1729</v>
      </c>
      <c r="B88" s="13" t="s">
        <v>1728</v>
      </c>
      <c r="C88" s="14">
        <v>1681</v>
      </c>
      <c r="D88" s="91">
        <v>40254</v>
      </c>
      <c r="E88" s="212">
        <v>1116.84216308593</v>
      </c>
      <c r="F88" s="212">
        <v>89659.828125</v>
      </c>
      <c r="G88" s="213">
        <v>1116842122</v>
      </c>
      <c r="H88" s="216">
        <v>89659.828125</v>
      </c>
      <c r="K88" s="1"/>
      <c r="O88" s="191" t="e">
        <f>365*K88/L88/(E88-IF(D88=J88,0,F88))*1</f>
        <v>#DIV/0!</v>
      </c>
      <c r="P88" s="37" t="str">
        <f>HYPERLINK("http://www.jsf.co.jp/de/stock/data.php?target=balance&amp;div=%93%8C%8F%D8&amp;code="&amp;C88,"日証金")</f>
        <v>日証金</v>
      </c>
      <c r="R88" s="34" t="str">
        <f>HYPERLINK("http://company.nikkei.co.jp/disclose/disclose.aspx?scode="&amp;C88,"開示")</f>
        <v>開示</v>
      </c>
      <c r="S88" s="71"/>
      <c r="T88" s="2"/>
      <c r="V88" s="2"/>
    </row>
    <row r="89" spans="2:16" ht="13.5">
      <c r="B89" s="10"/>
      <c r="C89" s="10"/>
      <c r="D89" s="108"/>
      <c r="E89" s="10"/>
      <c r="F89" s="10"/>
      <c r="G89" s="202"/>
      <c r="H89" s="10"/>
      <c r="J89" s="67"/>
      <c r="K89" s="187"/>
      <c r="L89" s="190"/>
      <c r="O89" s="67"/>
      <c r="P89" s="37"/>
    </row>
    <row r="90" spans="2:16" ht="13.5">
      <c r="B90" s="14"/>
      <c r="C90" s="14" t="s">
        <v>1922</v>
      </c>
      <c r="D90" s="109" t="s">
        <v>1043</v>
      </c>
      <c r="E90" s="14" t="s">
        <v>1021</v>
      </c>
      <c r="F90" s="14" t="s">
        <v>1921</v>
      </c>
      <c r="G90" t="s">
        <v>1271</v>
      </c>
      <c r="H90" t="s">
        <v>1645</v>
      </c>
      <c r="I90" t="s">
        <v>1018</v>
      </c>
      <c r="J90" t="s">
        <v>1524</v>
      </c>
      <c r="K90" s="1" t="s">
        <v>1930</v>
      </c>
      <c r="L90" s="51" t="s">
        <v>1931</v>
      </c>
      <c r="O90" s="67"/>
      <c r="P90" s="37"/>
    </row>
    <row r="91" spans="1:25" ht="13.5">
      <c r="A91" t="s">
        <v>1940</v>
      </c>
      <c r="B91" s="13" t="s">
        <v>600</v>
      </c>
      <c r="C91" s="14">
        <v>1326</v>
      </c>
      <c r="D91" s="91">
        <v>40253</v>
      </c>
      <c r="E91" s="92">
        <v>110.13</v>
      </c>
      <c r="F91" s="93">
        <v>0.9791468</v>
      </c>
      <c r="G91" s="210"/>
      <c r="H91" s="203"/>
      <c r="I91" s="148"/>
      <c r="J91" s="184"/>
      <c r="K91" s="185"/>
      <c r="L91" s="200"/>
      <c r="O91" s="191" t="e">
        <f>365*K91/L91/(E91-IF(D91=J91,0,F91))*1</f>
        <v>#DIV/0!</v>
      </c>
      <c r="P91" s="37" t="str">
        <f>HYPERLINK("http://www.jsf.co.jp/de/stock/data.php?target=balance&amp;div=%93%8C%8F%D8&amp;code="&amp;C91,"日証金")</f>
        <v>日証金</v>
      </c>
      <c r="R91" s="34" t="str">
        <f>HYPERLINK("http://company.nikkei.co.jp/disclose/disclose.aspx?scode="&amp;C91,"開示")</f>
        <v>開示</v>
      </c>
      <c r="S91" t="s">
        <v>738</v>
      </c>
      <c r="T91" s="2">
        <v>0.004</v>
      </c>
      <c r="V91" s="2"/>
      <c r="Y91" t="s">
        <v>1905</v>
      </c>
    </row>
    <row r="92" spans="1:16" ht="13.5">
      <c r="A92" s="12"/>
      <c r="B92" s="12"/>
      <c r="C92" s="12"/>
      <c r="D92" s="74"/>
      <c r="E92" s="12"/>
      <c r="F92" s="12"/>
      <c r="G92" s="12"/>
      <c r="H92" s="12"/>
      <c r="K92" s="186"/>
      <c r="P92" s="37"/>
    </row>
    <row r="93" spans="1:11" ht="13.5">
      <c r="A93" s="12"/>
      <c r="B93" s="12"/>
      <c r="C93" s="12"/>
      <c r="D93" s="74"/>
      <c r="E93" s="12"/>
      <c r="F93" s="12"/>
      <c r="G93" s="12"/>
      <c r="H93" s="12"/>
      <c r="K93" s="186"/>
    </row>
    <row r="94" spans="2:17" ht="13.5">
      <c r="B94" t="s">
        <v>2025</v>
      </c>
      <c r="C94" t="s">
        <v>57</v>
      </c>
      <c r="D94" t="s">
        <v>28</v>
      </c>
      <c r="E94" t="s">
        <v>1021</v>
      </c>
      <c r="F94" t="s">
        <v>1923</v>
      </c>
      <c r="G94" t="s">
        <v>1271</v>
      </c>
      <c r="H94" t="s">
        <v>1645</v>
      </c>
      <c r="I94" t="s">
        <v>1018</v>
      </c>
      <c r="J94" t="s">
        <v>1524</v>
      </c>
      <c r="K94" s="1" t="s">
        <v>1930</v>
      </c>
      <c r="L94" s="51" t="s">
        <v>1931</v>
      </c>
      <c r="Q94" s="37" t="str">
        <f>HYPERLINK("http://nextfunds.jp/lineup/index.html#kaigai-stock","NEXT FUNDS")</f>
        <v>NEXT FUNDS</v>
      </c>
    </row>
    <row r="95" spans="2:26" ht="14.25">
      <c r="B95" s="9" t="s">
        <v>1000</v>
      </c>
      <c r="C95" s="10">
        <v>1309</v>
      </c>
      <c r="D95" s="94">
        <v>40253</v>
      </c>
      <c r="E95" s="130">
        <v>27934</v>
      </c>
      <c r="F95" s="126">
        <v>29781.32</v>
      </c>
      <c r="G95" s="126"/>
      <c r="H95" s="126"/>
      <c r="I95" s="81"/>
      <c r="J95" s="184"/>
      <c r="K95" s="185"/>
      <c r="L95" s="200"/>
      <c r="M95" s="180"/>
      <c r="N95" s="180"/>
      <c r="O95" s="191" t="e">
        <f>365*K95/L95/(E95-IF(D95=J95,0,F95))*1</f>
        <v>#DIV/0!</v>
      </c>
      <c r="Q95" s="37" t="str">
        <f aca="true" t="shared" si="15" ref="Q95:Q103">HYPERLINK("http://nextfunds.jp/lineup/"&amp;$C95&amp;"/detail.html","NEXT FUNDS("&amp;$C95&amp;")")</f>
        <v>NEXT FUNDS(1309)</v>
      </c>
      <c r="R95" s="34" t="str">
        <f>HYPERLINK("http://company.nikkei.co.jp/disclose/disclose.aspx?scode="&amp;C95,"開示")</f>
        <v>開示</v>
      </c>
      <c r="S95" s="178">
        <v>40002</v>
      </c>
      <c r="T95" s="2">
        <v>0.009975</v>
      </c>
      <c r="V95" s="2"/>
      <c r="Z95" s="37"/>
    </row>
    <row r="96" spans="2:26" ht="14.25">
      <c r="B96" s="11" t="s">
        <v>1050</v>
      </c>
      <c r="C96" s="12">
        <v>1323</v>
      </c>
      <c r="D96" s="90">
        <v>40249</v>
      </c>
      <c r="E96" s="131">
        <v>31345</v>
      </c>
      <c r="F96" s="105">
        <v>304163.93</v>
      </c>
      <c r="G96" s="105"/>
      <c r="H96" s="105"/>
      <c r="I96" s="82"/>
      <c r="J96" s="184"/>
      <c r="K96" s="185"/>
      <c r="L96" s="200"/>
      <c r="M96" s="180"/>
      <c r="N96" s="180"/>
      <c r="O96" s="191" t="e">
        <f>365*K96/L96/(E96-IF(D96=J96,0,F96))*100</f>
        <v>#DIV/0!</v>
      </c>
      <c r="P96" s="37"/>
      <c r="Q96" s="37" t="str">
        <f t="shared" si="15"/>
        <v>NEXT FUNDS(1323)</v>
      </c>
      <c r="R96" s="34" t="str">
        <f aca="true" t="shared" si="16" ref="R96:R104">HYPERLINK("http://company.nikkei.co.jp/disclose/disclose.aspx?scode="&amp;C96,"開示")</f>
        <v>開示</v>
      </c>
      <c r="S96" s="62" t="s">
        <v>1615</v>
      </c>
      <c r="T96" s="2">
        <v>0.009975</v>
      </c>
      <c r="V96" s="2"/>
      <c r="Z96" s="37"/>
    </row>
    <row r="97" spans="2:26" ht="14.25">
      <c r="B97" s="11" t="s">
        <v>1051</v>
      </c>
      <c r="C97" s="12">
        <v>1324</v>
      </c>
      <c r="D97" s="90">
        <v>40249</v>
      </c>
      <c r="E97" s="131">
        <v>14951</v>
      </c>
      <c r="F97" s="104">
        <v>136145.7</v>
      </c>
      <c r="G97" s="104"/>
      <c r="H97" s="104"/>
      <c r="I97" s="82"/>
      <c r="J97" s="184"/>
      <c r="K97" s="185"/>
      <c r="L97" s="200"/>
      <c r="M97" s="180"/>
      <c r="N97" s="180"/>
      <c r="O97" s="191" t="e">
        <f>365*K97/L97/(E97-IF(D97=J97,0,F97))*100</f>
        <v>#DIV/0!</v>
      </c>
      <c r="P97" s="37"/>
      <c r="Q97" s="37" t="str">
        <f t="shared" si="15"/>
        <v>NEXT FUNDS(1324)</v>
      </c>
      <c r="R97" s="34" t="str">
        <f t="shared" si="16"/>
        <v>開示</v>
      </c>
      <c r="S97" s="62" t="s">
        <v>1615</v>
      </c>
      <c r="T97" s="2">
        <v>0.009975</v>
      </c>
      <c r="V97" s="2"/>
      <c r="Z97" s="37"/>
    </row>
    <row r="98" spans="2:26" ht="14.25">
      <c r="B98" s="11" t="s">
        <v>1047</v>
      </c>
      <c r="C98" s="12">
        <v>1325</v>
      </c>
      <c r="D98" s="90">
        <v>40249</v>
      </c>
      <c r="E98" s="131">
        <v>33514</v>
      </c>
      <c r="F98" s="105">
        <v>3575604.14</v>
      </c>
      <c r="G98" s="105"/>
      <c r="H98" s="105"/>
      <c r="I98" s="82"/>
      <c r="J98" s="184"/>
      <c r="K98" s="185"/>
      <c r="L98" s="200"/>
      <c r="M98" s="180"/>
      <c r="N98" s="180"/>
      <c r="O98" s="191" t="e">
        <f>365*K98/L98/(E98-IF(D98=J98,0,F98))*100</f>
        <v>#DIV/0!</v>
      </c>
      <c r="P98" s="37" t="str">
        <f>HYPERLINK("http://www.jsf.co.jp/de/stock/data.php?target=balance&amp;div=%93%8C%8F%D8&amp;code="&amp;C98,"日証金")</f>
        <v>日証金</v>
      </c>
      <c r="Q98" s="37" t="str">
        <f t="shared" si="15"/>
        <v>NEXT FUNDS(1325)</v>
      </c>
      <c r="R98" s="34" t="str">
        <f t="shared" si="16"/>
        <v>開示</v>
      </c>
      <c r="S98" s="62" t="s">
        <v>1615</v>
      </c>
      <c r="T98" s="2">
        <v>0.009975</v>
      </c>
      <c r="V98" s="2"/>
      <c r="Z98" s="37"/>
    </row>
    <row r="99" spans="2:26" ht="14.25">
      <c r="B99" s="11" t="s">
        <v>1928</v>
      </c>
      <c r="C99" s="67">
        <v>1678</v>
      </c>
      <c r="D99" s="90">
        <v>40249</v>
      </c>
      <c r="E99" s="131">
        <v>9937</v>
      </c>
      <c r="F99" s="105">
        <v>10202.63</v>
      </c>
      <c r="G99" s="105"/>
      <c r="H99" s="105"/>
      <c r="I99" s="82"/>
      <c r="J99" s="184"/>
      <c r="K99" s="185"/>
      <c r="L99" s="200"/>
      <c r="M99" s="180"/>
      <c r="N99" s="180"/>
      <c r="O99" s="191" t="e">
        <f>365*K99/L99/(E99-IF(D99=J99,0,F99))*100</f>
        <v>#DIV/0!</v>
      </c>
      <c r="P99" s="37" t="str">
        <f>HYPERLINK("http://www.jsf.co.jp/de/stock/data.php?target=balance&amp;div=%93%8C%8F%D8&amp;code="&amp;C99,"日証金")</f>
        <v>日証金</v>
      </c>
      <c r="Q99" s="37" t="str">
        <f t="shared" si="15"/>
        <v>NEXT FUNDS(1678)</v>
      </c>
      <c r="R99" s="34" t="str">
        <f>HYPERLINK("http://company.nikkei.co.jp/disclose/disclose.aspx?scode="&amp;C99,"開示")</f>
        <v>開示</v>
      </c>
      <c r="S99" s="178">
        <v>40002</v>
      </c>
      <c r="T99" s="2">
        <v>0.009975</v>
      </c>
      <c r="V99" s="2"/>
      <c r="Y99" t="s">
        <v>1858</v>
      </c>
      <c r="Z99" s="37"/>
    </row>
    <row r="100" spans="2:27" ht="14.25">
      <c r="B100" s="11" t="s">
        <v>1053</v>
      </c>
      <c r="C100" s="12">
        <v>1328</v>
      </c>
      <c r="D100" s="90">
        <v>40254</v>
      </c>
      <c r="E100" s="131">
        <v>3113</v>
      </c>
      <c r="F100" s="105">
        <v>3270.09</v>
      </c>
      <c r="G100" s="105"/>
      <c r="H100" s="105"/>
      <c r="I100" s="82"/>
      <c r="J100" s="184"/>
      <c r="K100" s="185"/>
      <c r="L100" s="200"/>
      <c r="M100" s="180"/>
      <c r="N100" s="180"/>
      <c r="O100" s="191" t="e">
        <f>365*K100/L100/(E100-IF(D100=J100,0,F100))*1</f>
        <v>#DIV/0!</v>
      </c>
      <c r="P100" s="37"/>
      <c r="Q100" s="37" t="str">
        <f t="shared" si="15"/>
        <v>NEXT FUNDS(1328)</v>
      </c>
      <c r="R100" s="34" t="str">
        <f t="shared" si="16"/>
        <v>開示</v>
      </c>
      <c r="S100" s="62" t="s">
        <v>1612</v>
      </c>
      <c r="T100" s="2">
        <v>0.00525</v>
      </c>
      <c r="U100" s="51">
        <v>1</v>
      </c>
      <c r="V100" s="219">
        <f>(G100/E100-H100/(E100-F100))*U100</f>
        <v>0</v>
      </c>
      <c r="W100">
        <v>400000</v>
      </c>
      <c r="Y100" t="s">
        <v>1903</v>
      </c>
      <c r="Z100" s="37"/>
      <c r="AA100" s="37" t="str">
        <f>HYPERLINK("http://www.himekuricalendar.com/","カレンダー")</f>
        <v>カレンダー</v>
      </c>
    </row>
    <row r="101" spans="2:26" s="244" customFormat="1" ht="14.25">
      <c r="B101" s="247" t="s">
        <v>1945</v>
      </c>
      <c r="C101" s="248">
        <v>1340</v>
      </c>
      <c r="D101" s="249">
        <v>40219</v>
      </c>
      <c r="E101" s="250">
        <v>18877</v>
      </c>
      <c r="F101" s="251">
        <v>1.93</v>
      </c>
      <c r="G101" s="251"/>
      <c r="H101" s="251"/>
      <c r="I101" s="252"/>
      <c r="J101" s="253"/>
      <c r="K101" s="254"/>
      <c r="L101" s="255"/>
      <c r="M101" s="256"/>
      <c r="N101" s="256"/>
      <c r="O101" s="257" t="e">
        <f>365*K101/L101/(E101-IF(D101=J101,0,F101))*100</f>
        <v>#DIV/0!</v>
      </c>
      <c r="Q101" s="256" t="str">
        <f t="shared" si="15"/>
        <v>NEXT FUNDS(1340)</v>
      </c>
      <c r="R101" s="258" t="str">
        <f t="shared" si="16"/>
        <v>開示</v>
      </c>
      <c r="S101" s="259" t="s">
        <v>1612</v>
      </c>
      <c r="T101" s="260">
        <v>0.008925</v>
      </c>
      <c r="U101" s="245"/>
      <c r="V101" s="260"/>
      <c r="Z101" s="256"/>
    </row>
    <row r="102" spans="2:26" s="244" customFormat="1" ht="14.25">
      <c r="B102" s="247" t="s">
        <v>1951</v>
      </c>
      <c r="C102" s="248">
        <v>1341</v>
      </c>
      <c r="D102" s="249">
        <v>40219</v>
      </c>
      <c r="E102" s="250">
        <v>47472</v>
      </c>
      <c r="F102" s="251">
        <v>48.21</v>
      </c>
      <c r="G102" s="251"/>
      <c r="H102" s="251"/>
      <c r="I102" s="252"/>
      <c r="J102" s="253"/>
      <c r="K102" s="254"/>
      <c r="L102" s="255"/>
      <c r="M102" s="256"/>
      <c r="N102" s="256"/>
      <c r="O102" s="257" t="e">
        <f>365*K102/L102/(E102-IF(D102=J102,0,F102))*100</f>
        <v>#DIV/0!</v>
      </c>
      <c r="Q102" s="256" t="str">
        <f t="shared" si="15"/>
        <v>NEXT FUNDS(1341)</v>
      </c>
      <c r="R102" s="258" t="str">
        <f t="shared" si="16"/>
        <v>開示</v>
      </c>
      <c r="S102" s="259" t="s">
        <v>1612</v>
      </c>
      <c r="T102" s="260">
        <v>0.008925</v>
      </c>
      <c r="U102" s="245"/>
      <c r="V102" s="260"/>
      <c r="Z102" s="256"/>
    </row>
    <row r="103" spans="2:26" s="244" customFormat="1" ht="14.25">
      <c r="B103" s="247" t="s">
        <v>1952</v>
      </c>
      <c r="C103" s="248">
        <v>1342</v>
      </c>
      <c r="D103" s="249">
        <v>40219</v>
      </c>
      <c r="E103" s="250">
        <v>29155</v>
      </c>
      <c r="F103" s="251">
        <v>2.97</v>
      </c>
      <c r="G103" s="251"/>
      <c r="H103" s="251"/>
      <c r="I103" s="252"/>
      <c r="J103" s="253"/>
      <c r="K103" s="254"/>
      <c r="L103" s="255"/>
      <c r="M103" s="256"/>
      <c r="N103" s="256"/>
      <c r="O103" s="257" t="e">
        <f>365*K103/L103/(E103-IF(D103=J103,0,F103))*100</f>
        <v>#DIV/0!</v>
      </c>
      <c r="Q103" s="256" t="str">
        <f t="shared" si="15"/>
        <v>NEXT FUNDS(1342)</v>
      </c>
      <c r="R103" s="258" t="str">
        <f t="shared" si="16"/>
        <v>開示</v>
      </c>
      <c r="S103" s="259" t="s">
        <v>1621</v>
      </c>
      <c r="T103" s="260">
        <v>0.008925</v>
      </c>
      <c r="U103" s="245"/>
      <c r="V103" s="260"/>
      <c r="Z103" s="256"/>
    </row>
    <row r="104" spans="1:22" ht="13.5">
      <c r="A104" t="s">
        <v>1218</v>
      </c>
      <c r="B104" s="13" t="s">
        <v>1052</v>
      </c>
      <c r="C104" s="14">
        <v>1313</v>
      </c>
      <c r="D104" s="127">
        <v>39913</v>
      </c>
      <c r="E104" s="68">
        <v>1281.31</v>
      </c>
      <c r="F104" s="68">
        <v>12.609312</v>
      </c>
      <c r="G104" s="68"/>
      <c r="H104" s="68"/>
      <c r="I104" s="83"/>
      <c r="J104" s="184"/>
      <c r="K104" s="185"/>
      <c r="L104" s="200"/>
      <c r="O104" s="191">
        <f>365/'リアルタイムNAV一覧'!K32*L104</f>
        <v>0</v>
      </c>
      <c r="P104" s="37" t="str">
        <f>HYPERLINK("http://www.jsf.co.jp/de/stock/data.php?target=balance&amp;div=%93%8C%8F%D8&amp;code="&amp;C104,"日証金")</f>
        <v>日証金</v>
      </c>
      <c r="R104" s="34" t="str">
        <f t="shared" si="16"/>
        <v>開示</v>
      </c>
      <c r="T104" s="2">
        <v>0.00525</v>
      </c>
      <c r="V104" s="2"/>
    </row>
    <row r="105" spans="1:18" ht="13.5">
      <c r="A105" s="12"/>
      <c r="B105" s="12"/>
      <c r="C105" s="12"/>
      <c r="D105" s="112"/>
      <c r="E105" s="67"/>
      <c r="F105" s="67"/>
      <c r="G105" s="67"/>
      <c r="H105" s="67"/>
      <c r="I105" s="67"/>
      <c r="J105" s="67"/>
      <c r="K105" s="187"/>
      <c r="L105" s="190"/>
      <c r="O105" s="67"/>
      <c r="P105" s="37"/>
      <c r="R105" s="34"/>
    </row>
    <row r="106" spans="1:18" ht="13.5">
      <c r="A106" s="12"/>
      <c r="B106" s="12"/>
      <c r="C106" s="12"/>
      <c r="D106" s="112"/>
      <c r="E106" s="67"/>
      <c r="F106" s="67"/>
      <c r="G106" s="67"/>
      <c r="H106" s="67"/>
      <c r="I106" s="67"/>
      <c r="J106" s="67"/>
      <c r="K106" s="187"/>
      <c r="L106" s="190"/>
      <c r="O106" s="67"/>
      <c r="P106" s="37"/>
      <c r="R106" s="34"/>
    </row>
    <row r="107" spans="1:18" ht="13.5">
      <c r="A107" s="12"/>
      <c r="B107" s="12"/>
      <c r="C107" s="12"/>
      <c r="D107" s="112"/>
      <c r="E107" s="67"/>
      <c r="F107" s="67"/>
      <c r="G107" s="67"/>
      <c r="H107" s="67"/>
      <c r="I107" s="67"/>
      <c r="J107" s="67"/>
      <c r="K107" s="187"/>
      <c r="L107" s="190"/>
      <c r="O107" s="67"/>
      <c r="P107" s="37"/>
      <c r="R107" s="34"/>
    </row>
    <row r="108" spans="1:18" ht="13.5">
      <c r="A108" s="12"/>
      <c r="B108" t="s">
        <v>2025</v>
      </c>
      <c r="C108" t="s">
        <v>57</v>
      </c>
      <c r="D108" t="s">
        <v>28</v>
      </c>
      <c r="E108" t="s">
        <v>1021</v>
      </c>
      <c r="F108" t="s">
        <v>1134</v>
      </c>
      <c r="G108" t="s">
        <v>1271</v>
      </c>
      <c r="H108" t="s">
        <v>1645</v>
      </c>
      <c r="I108" t="s">
        <v>1018</v>
      </c>
      <c r="J108" t="s">
        <v>1524</v>
      </c>
      <c r="K108" s="1" t="s">
        <v>1930</v>
      </c>
      <c r="L108" s="51" t="s">
        <v>1931</v>
      </c>
      <c r="P108" s="37"/>
      <c r="R108" s="34"/>
    </row>
    <row r="109" spans="1:25" ht="13.5">
      <c r="A109" t="s">
        <v>1918</v>
      </c>
      <c r="B109" s="113" t="s">
        <v>1909</v>
      </c>
      <c r="C109" s="114">
        <v>1327</v>
      </c>
      <c r="D109" s="122">
        <v>40247</v>
      </c>
      <c r="E109" s="115">
        <v>3883.89</v>
      </c>
      <c r="F109" s="149">
        <v>-0.0357</v>
      </c>
      <c r="G109" s="149"/>
      <c r="H109" s="149"/>
      <c r="I109" s="116"/>
      <c r="J109" s="184"/>
      <c r="K109" s="185"/>
      <c r="L109" s="200"/>
      <c r="O109" s="191">
        <f>365/'リアルタイムNAV一覧'!K37*L109</f>
        <v>0</v>
      </c>
      <c r="P109" s="37" t="str">
        <f>HYPERLINK("http://www.jsf.co.jp/de/stock/data.php?target=balance&amp;div=%93%8C%8F%D8&amp;code="&amp;C109,"日証金")</f>
        <v>日証金</v>
      </c>
      <c r="R109" s="34" t="str">
        <f>HYPERLINK("http://company.nikkei.co.jp/disclose/disclose.aspx?scode="&amp;C109,"開示")</f>
        <v>開示</v>
      </c>
      <c r="S109" t="s">
        <v>739</v>
      </c>
      <c r="T109" s="2">
        <v>0.0045</v>
      </c>
      <c r="V109" s="2"/>
      <c r="Y109" t="s">
        <v>1904</v>
      </c>
    </row>
    <row r="110" ht="13.5">
      <c r="K110" s="186"/>
    </row>
    <row r="111" ht="13.5">
      <c r="K111" s="186"/>
    </row>
    <row r="112" spans="2:11" ht="13.5">
      <c r="B112" t="s">
        <v>1269</v>
      </c>
      <c r="C112" t="s">
        <v>1268</v>
      </c>
      <c r="K112" s="186"/>
    </row>
    <row r="113" spans="1:18" ht="13.5">
      <c r="A113" t="s">
        <v>1267</v>
      </c>
      <c r="B113" s="3">
        <v>40234</v>
      </c>
      <c r="C113" s="3">
        <v>40157</v>
      </c>
      <c r="D113" t="str">
        <f>IF(B113&lt;C113,"バージョンアップしてください","最新バージョンです")</f>
        <v>最新バージョンです</v>
      </c>
      <c r="K113" s="186"/>
      <c r="Q113" s="37" t="str">
        <f>HYPERLINK("http://www.himekuricalendar.com/","カレンダー")</f>
        <v>カレンダー</v>
      </c>
      <c r="R113" s="37" t="str">
        <f>HYPERLINK("https://www.release.tdnet.info/inbs/I_main_00.html","適時開示@TSE")</f>
        <v>適時開示@TSE</v>
      </c>
    </row>
    <row r="114" ht="13.5">
      <c r="K114" s="186"/>
    </row>
    <row r="115" ht="13.5">
      <c r="K115" s="186"/>
    </row>
    <row r="116" ht="13.5">
      <c r="K116" s="186"/>
    </row>
    <row r="117" spans="2:15" ht="13.5">
      <c r="B117" s="14"/>
      <c r="C117" s="14" t="s">
        <v>1922</v>
      </c>
      <c r="D117" s="109" t="s">
        <v>1043</v>
      </c>
      <c r="E117" s="14" t="s">
        <v>1021</v>
      </c>
      <c r="F117" t="s">
        <v>1134</v>
      </c>
      <c r="G117" t="s">
        <v>1271</v>
      </c>
      <c r="H117" t="s">
        <v>1645</v>
      </c>
      <c r="I117" t="s">
        <v>1018</v>
      </c>
      <c r="J117" t="s">
        <v>1524</v>
      </c>
      <c r="K117" s="1" t="s">
        <v>1930</v>
      </c>
      <c r="L117" s="51" t="s">
        <v>1931</v>
      </c>
      <c r="O117" s="67"/>
    </row>
    <row r="118" spans="2:25" ht="13.5">
      <c r="B118" s="13" t="s">
        <v>1584</v>
      </c>
      <c r="C118" s="14">
        <v>1349</v>
      </c>
      <c r="D118" s="122">
        <v>40248</v>
      </c>
      <c r="E118" s="115">
        <v>10423</v>
      </c>
      <c r="F118" s="149">
        <v>-0.1969</v>
      </c>
      <c r="G118" s="149"/>
      <c r="H118" s="149"/>
      <c r="I118" s="209"/>
      <c r="J118" s="184"/>
      <c r="K118" s="185"/>
      <c r="L118" s="200"/>
      <c r="O118" s="189" t="e">
        <f>365*K118/L118/(E118-IF(D118=J118,0,F118))*1</f>
        <v>#DIV/0!</v>
      </c>
      <c r="P118" s="37" t="str">
        <f>HYPERLINK("http://www.jsf.co.jp/de/stock/data.php?target=balance&amp;div=%93%8C%8F%D8&amp;code="&amp;C118,"日証金")</f>
        <v>日証金</v>
      </c>
      <c r="R118" s="34" t="str">
        <f>HYPERLINK("http://company.nikkei.co.jp/disclose/disclose.aspx?scode="&amp;C118,"開示")</f>
        <v>開示</v>
      </c>
      <c r="S118" t="s">
        <v>1581</v>
      </c>
      <c r="T118" s="2">
        <v>0.0025</v>
      </c>
      <c r="V118" s="2"/>
      <c r="Y118" t="s">
        <v>1895</v>
      </c>
    </row>
    <row r="119" ht="13.5">
      <c r="K119" s="186"/>
    </row>
    <row r="120" ht="13.5">
      <c r="K120" s="186"/>
    </row>
    <row r="121" spans="2:15" ht="13.5">
      <c r="B121" s="14"/>
      <c r="C121" s="14" t="s">
        <v>1922</v>
      </c>
      <c r="D121" s="109" t="s">
        <v>1043</v>
      </c>
      <c r="E121" s="14" t="s">
        <v>1021</v>
      </c>
      <c r="F121" t="s">
        <v>1134</v>
      </c>
      <c r="G121" t="s">
        <v>1271</v>
      </c>
      <c r="H121" t="s">
        <v>1645</v>
      </c>
      <c r="I121" t="s">
        <v>1018</v>
      </c>
      <c r="J121" t="s">
        <v>1524</v>
      </c>
      <c r="K121" s="1" t="s">
        <v>1930</v>
      </c>
      <c r="L121" s="51" t="s">
        <v>1931</v>
      </c>
      <c r="O121" s="67"/>
    </row>
    <row r="122" spans="1:25" ht="13.5">
      <c r="A122" t="s">
        <v>1336</v>
      </c>
      <c r="B122" s="9" t="s">
        <v>1265</v>
      </c>
      <c r="C122" s="10">
        <v>1671</v>
      </c>
      <c r="D122" s="94">
        <v>40254</v>
      </c>
      <c r="E122" s="169">
        <v>6257</v>
      </c>
      <c r="F122" s="170">
        <v>-0.1582</v>
      </c>
      <c r="G122" s="170"/>
      <c r="H122" s="170"/>
      <c r="I122" s="171"/>
      <c r="J122" s="184">
        <v>40254</v>
      </c>
      <c r="K122" s="185">
        <v>5</v>
      </c>
      <c r="L122" s="200">
        <v>1</v>
      </c>
      <c r="O122" s="87"/>
      <c r="R122" s="34" t="str">
        <f>HYPERLINK("http://company.nikkei.co.jp/disclose/disclose.aspx?scode="&amp;C122,"開示")</f>
        <v>開示</v>
      </c>
      <c r="S122" t="s">
        <v>1338</v>
      </c>
      <c r="T122" s="2">
        <v>0.008925</v>
      </c>
      <c r="U122" s="51" t="s">
        <v>764</v>
      </c>
      <c r="V122" s="2"/>
      <c r="Y122" t="s">
        <v>1844</v>
      </c>
    </row>
    <row r="123" spans="2:25" ht="13.5">
      <c r="B123" s="13" t="s">
        <v>1026</v>
      </c>
      <c r="C123" s="14">
        <v>1679</v>
      </c>
      <c r="D123" s="182">
        <v>40254</v>
      </c>
      <c r="E123" s="172">
        <v>9384</v>
      </c>
      <c r="F123" s="173">
        <v>-0.0034</v>
      </c>
      <c r="G123" s="173"/>
      <c r="H123" s="173"/>
      <c r="I123" s="150"/>
      <c r="J123" s="184"/>
      <c r="K123" s="185"/>
      <c r="L123" s="200"/>
      <c r="O123" s="189" t="e">
        <f>365*K123/L123/(E123-IF(D123=J123,0,F123))*1</f>
        <v>#DIV/0!</v>
      </c>
      <c r="P123" s="37" t="str">
        <f>HYPERLINK("http://www.jsf.co.jp/de/stock/data.php?target=balance&amp;div=%93%8C%8F%D8&amp;code="&amp;C123,"日証金")</f>
        <v>日証金</v>
      </c>
      <c r="R123" s="34" t="str">
        <f>HYPERLINK("http://company.nikkei.co.jp/disclose/disclose.aspx?scode="&amp;C123,"開示")</f>
        <v>開示</v>
      </c>
      <c r="S123" s="71">
        <v>40153</v>
      </c>
      <c r="T123" s="2">
        <v>0.006</v>
      </c>
      <c r="V123" s="2"/>
      <c r="Y123" t="s">
        <v>1859</v>
      </c>
    </row>
    <row r="124" spans="2:11" ht="13.5">
      <c r="B124" s="1"/>
      <c r="K124" s="186"/>
    </row>
    <row r="125" spans="2:15" ht="13.5">
      <c r="B125" t="s">
        <v>2025</v>
      </c>
      <c r="C125" t="s">
        <v>57</v>
      </c>
      <c r="D125" s="74" t="s">
        <v>1043</v>
      </c>
      <c r="E125" t="s">
        <v>1561</v>
      </c>
      <c r="F125" s="12" t="s">
        <v>1021</v>
      </c>
      <c r="G125" t="s">
        <v>1271</v>
      </c>
      <c r="H125" t="s">
        <v>1645</v>
      </c>
      <c r="I125" s="68" t="s">
        <v>1357</v>
      </c>
      <c r="J125" t="s">
        <v>1524</v>
      </c>
      <c r="K125" s="1" t="s">
        <v>1930</v>
      </c>
      <c r="L125" s="51" t="s">
        <v>1931</v>
      </c>
      <c r="O125" s="67"/>
    </row>
    <row r="126" spans="1:25" ht="13.5">
      <c r="A126" t="s">
        <v>1860</v>
      </c>
      <c r="B126" s="9" t="s">
        <v>605</v>
      </c>
      <c r="C126" s="10">
        <v>1672</v>
      </c>
      <c r="D126" s="108">
        <v>40254</v>
      </c>
      <c r="E126" s="10">
        <v>0.0988748</v>
      </c>
      <c r="F126" s="152">
        <v>10030.95</v>
      </c>
      <c r="G126" s="152"/>
      <c r="H126" s="152"/>
      <c r="I126" s="271">
        <v>0.4</v>
      </c>
      <c r="J126" s="184"/>
      <c r="K126" s="185"/>
      <c r="L126" s="200"/>
      <c r="O126" s="189" t="e">
        <f>365*K126/L126/(E126-IF(D126=J126,0,F126))*1</f>
        <v>#DIV/0!</v>
      </c>
      <c r="P126" s="37" t="str">
        <f>HYPERLINK("http://www.jsf.co.jp/de/stock/data.php?target=balance&amp;div=%93%8C%8F%D8&amp;code="&amp;C126,"日証金")</f>
        <v>日証金</v>
      </c>
      <c r="R126" s="34" t="str">
        <f>HYPERLINK("http://company.nikkei.co.jp/disclose/disclose.aspx?scode="&amp;C126,"開示")</f>
        <v>開示</v>
      </c>
      <c r="T126" s="2"/>
      <c r="V126" s="2"/>
      <c r="Y126" t="s">
        <v>1845</v>
      </c>
    </row>
    <row r="127" spans="2:25" ht="13.5">
      <c r="B127" s="11" t="s">
        <v>606</v>
      </c>
      <c r="C127" s="12">
        <v>1673</v>
      </c>
      <c r="D127" s="74">
        <v>40254</v>
      </c>
      <c r="E127" s="12">
        <v>0.985876</v>
      </c>
      <c r="F127" s="153">
        <v>1563.91</v>
      </c>
      <c r="G127" s="153"/>
      <c r="H127" s="153"/>
      <c r="I127" s="272">
        <v>1.2</v>
      </c>
      <c r="J127" s="184"/>
      <c r="K127" s="185"/>
      <c r="L127" s="200"/>
      <c r="O127" s="189" t="e">
        <f>365*K127/L127/(E127-IF(D127=J127,0,F127))*1</f>
        <v>#DIV/0!</v>
      </c>
      <c r="P127" s="37" t="str">
        <f>HYPERLINK("http://www.jsf.co.jp/de/stock/data.php?target=balance&amp;div=%93%8C%8F%D8&amp;code="&amp;C127,"日証金")</f>
        <v>日証金</v>
      </c>
      <c r="R127" s="34" t="str">
        <f>HYPERLINK("http://company.nikkei.co.jp/disclose/disclose.aspx?scode="&amp;C127,"開示")</f>
        <v>開示</v>
      </c>
      <c r="T127" s="2"/>
      <c r="V127" s="2"/>
      <c r="Y127" t="s">
        <v>1850</v>
      </c>
    </row>
    <row r="128" spans="2:25" ht="13.5">
      <c r="B128" s="11" t="s">
        <v>607</v>
      </c>
      <c r="C128" s="12">
        <v>1674</v>
      </c>
      <c r="D128" s="74">
        <v>40254</v>
      </c>
      <c r="E128" s="12">
        <v>0.0985876</v>
      </c>
      <c r="F128" s="153">
        <v>14587.01</v>
      </c>
      <c r="G128" s="153"/>
      <c r="H128" s="153"/>
      <c r="I128" s="272">
        <v>0.1</v>
      </c>
      <c r="J128" s="184"/>
      <c r="K128" s="185"/>
      <c r="L128" s="200"/>
      <c r="O128" s="189" t="e">
        <f>365*K128/L128/(E128-IF(D128=J128,0,F128))*1</f>
        <v>#DIV/0!</v>
      </c>
      <c r="P128" s="37" t="str">
        <f>HYPERLINK("http://www.jsf.co.jp/de/stock/data.php?target=balance&amp;div=%93%8C%8F%D8&amp;code="&amp;C128,"日証金")</f>
        <v>日証金</v>
      </c>
      <c r="R128" s="34" t="str">
        <f>HYPERLINK("http://company.nikkei.co.jp/disclose/disclose.aspx?scode="&amp;C128,"開示")</f>
        <v>開示</v>
      </c>
      <c r="T128" s="2"/>
      <c r="V128" s="2"/>
      <c r="Y128" t="s">
        <v>1851</v>
      </c>
    </row>
    <row r="129" spans="2:25" ht="13.5">
      <c r="B129" s="11" t="s">
        <v>608</v>
      </c>
      <c r="C129" s="12">
        <v>1675</v>
      </c>
      <c r="D129" s="74">
        <v>40254</v>
      </c>
      <c r="E129" s="12">
        <v>0.0985876</v>
      </c>
      <c r="F129" s="153">
        <v>4244.14</v>
      </c>
      <c r="G129" s="153"/>
      <c r="H129" s="153"/>
      <c r="I129" s="272">
        <v>0.2</v>
      </c>
      <c r="J129" s="184"/>
      <c r="K129" s="185"/>
      <c r="L129" s="200"/>
      <c r="O129" s="189" t="e">
        <f>365*K129/L129/(E129-IF(D129=J129,0,F129))*1</f>
        <v>#DIV/0!</v>
      </c>
      <c r="P129" s="37" t="str">
        <f>HYPERLINK("http://www.jsf.co.jp/de/stock/data.php?target=balance&amp;div=%93%8C%8F%D8&amp;code="&amp;C129,"日証金")</f>
        <v>日証金</v>
      </c>
      <c r="R129" s="34" t="str">
        <f>HYPERLINK("http://company.nikkei.co.jp/disclose/disclose.aspx?scode="&amp;C129,"開示")</f>
        <v>開示</v>
      </c>
      <c r="T129" s="2"/>
      <c r="V129" s="2"/>
      <c r="Y129" t="s">
        <v>1852</v>
      </c>
    </row>
    <row r="130" spans="2:25" ht="13.5">
      <c r="B130" s="13" t="s">
        <v>609</v>
      </c>
      <c r="C130" s="14">
        <v>1676</v>
      </c>
      <c r="D130" s="109">
        <v>40254</v>
      </c>
      <c r="E130" s="14"/>
      <c r="F130" s="154">
        <v>8196.6</v>
      </c>
      <c r="G130" s="154"/>
      <c r="H130" s="154"/>
      <c r="I130" s="273"/>
      <c r="J130" s="184"/>
      <c r="K130" s="185"/>
      <c r="L130" s="200"/>
      <c r="O130" s="189" t="e">
        <f>365*K130/L130/(E130-IF(D130=J130,0,F130))*1</f>
        <v>#DIV/0!</v>
      </c>
      <c r="P130" s="37" t="str">
        <f>HYPERLINK("http://www.jsf.co.jp/de/stock/data.php?target=balance&amp;div=%93%8C%8F%D8&amp;code="&amp;C130,"日証金")</f>
        <v>日証金</v>
      </c>
      <c r="R130" s="34" t="str">
        <f>HYPERLINK("http://company.nikkei.co.jp/disclose/disclose.aspx?scode="&amp;C130,"開示")</f>
        <v>開示</v>
      </c>
      <c r="T130" s="2">
        <v>0.0043</v>
      </c>
      <c r="V130" s="2"/>
      <c r="Y130" t="s">
        <v>1853</v>
      </c>
    </row>
    <row r="131" spans="1:11" ht="13.5">
      <c r="A131" t="s">
        <v>5</v>
      </c>
      <c r="B131" s="129" t="s">
        <v>6</v>
      </c>
      <c r="C131">
        <v>10</v>
      </c>
      <c r="D131" s="3">
        <v>40252</v>
      </c>
      <c r="E131">
        <v>5.58</v>
      </c>
      <c r="F131">
        <v>9035</v>
      </c>
      <c r="G131">
        <v>2.767</v>
      </c>
      <c r="H131" t="s">
        <v>7</v>
      </c>
      <c r="I131" s="2"/>
      <c r="K131" s="186"/>
    </row>
    <row r="132" spans="2:11" ht="13.5">
      <c r="B132" s="129" t="s">
        <v>8</v>
      </c>
      <c r="C132">
        <v>10</v>
      </c>
      <c r="D132" s="3">
        <v>40252</v>
      </c>
      <c r="E132">
        <v>37.96</v>
      </c>
      <c r="F132">
        <v>21</v>
      </c>
      <c r="G132">
        <v>1170.141</v>
      </c>
      <c r="H132" t="s">
        <v>9</v>
      </c>
      <c r="K132" s="186"/>
    </row>
    <row r="133" spans="2:11" ht="13.5">
      <c r="B133" s="129" t="s">
        <v>10</v>
      </c>
      <c r="C133">
        <v>10</v>
      </c>
      <c r="D133" s="3">
        <v>40252</v>
      </c>
      <c r="E133">
        <v>1.27</v>
      </c>
      <c r="F133">
        <v>127</v>
      </c>
      <c r="G133">
        <v>39.463</v>
      </c>
      <c r="H133" t="s">
        <v>11</v>
      </c>
      <c r="K133" s="186"/>
    </row>
    <row r="134" spans="2:11" ht="13.5">
      <c r="B134" s="129" t="s">
        <v>12</v>
      </c>
      <c r="C134">
        <v>10</v>
      </c>
      <c r="D134" s="3">
        <v>40252</v>
      </c>
      <c r="E134">
        <v>26.79</v>
      </c>
      <c r="F134">
        <v>2992</v>
      </c>
      <c r="G134">
        <v>0.334</v>
      </c>
      <c r="H134" t="s">
        <v>13</v>
      </c>
      <c r="I134" s="2"/>
      <c r="K134" s="186"/>
    </row>
    <row r="135" spans="2:17" ht="13.5">
      <c r="B135" s="129" t="s">
        <v>14</v>
      </c>
      <c r="C135">
        <v>10</v>
      </c>
      <c r="D135" s="3">
        <v>40252</v>
      </c>
      <c r="E135">
        <v>0.44</v>
      </c>
      <c r="F135">
        <v>99085</v>
      </c>
      <c r="G135">
        <v>0.101</v>
      </c>
      <c r="H135" t="s">
        <v>15</v>
      </c>
      <c r="I135" s="142"/>
      <c r="K135" s="186"/>
      <c r="Q135">
        <f ca="1">(1-0.49%)^YEARFRAC(D135,TODAY())</f>
        <v>0.9999454232186888</v>
      </c>
    </row>
    <row r="136" spans="2:11" ht="13.5">
      <c r="B136" t="s">
        <v>16</v>
      </c>
      <c r="C136">
        <v>10</v>
      </c>
      <c r="D136" s="3">
        <v>40252</v>
      </c>
      <c r="E136">
        <v>25.33</v>
      </c>
      <c r="F136">
        <v>5552</v>
      </c>
      <c r="G136">
        <v>1.081</v>
      </c>
      <c r="H136" t="s">
        <v>7</v>
      </c>
      <c r="K136" s="186"/>
    </row>
    <row r="137" spans="2:11" ht="13.5">
      <c r="B137" t="s">
        <v>17</v>
      </c>
      <c r="C137">
        <v>10</v>
      </c>
      <c r="D137" s="3">
        <v>40252</v>
      </c>
      <c r="E137">
        <v>14.63</v>
      </c>
      <c r="F137">
        <v>28</v>
      </c>
      <c r="G137">
        <v>176.961</v>
      </c>
      <c r="H137" t="s">
        <v>9</v>
      </c>
      <c r="K137" s="186"/>
    </row>
    <row r="138" spans="2:11" ht="13.5">
      <c r="B138" t="s">
        <v>18</v>
      </c>
      <c r="C138">
        <v>10</v>
      </c>
      <c r="D138" s="3">
        <v>40252</v>
      </c>
      <c r="E138">
        <v>1.85</v>
      </c>
      <c r="F138">
        <v>117</v>
      </c>
      <c r="G138">
        <v>42.915</v>
      </c>
      <c r="H138" t="s">
        <v>11</v>
      </c>
      <c r="K138" s="186"/>
    </row>
    <row r="139" spans="2:11" ht="13.5">
      <c r="B139" t="s">
        <v>19</v>
      </c>
      <c r="C139">
        <v>10</v>
      </c>
      <c r="D139" s="3">
        <v>40252</v>
      </c>
      <c r="E139">
        <v>33.4</v>
      </c>
      <c r="F139">
        <v>29</v>
      </c>
      <c r="G139">
        <v>1470.799</v>
      </c>
      <c r="H139" t="s">
        <v>20</v>
      </c>
      <c r="K139" s="186"/>
    </row>
    <row r="140" spans="4:11" ht="13.5">
      <c r="D140" t="s">
        <v>30</v>
      </c>
      <c r="E140" t="s">
        <v>31</v>
      </c>
      <c r="F140" t="s">
        <v>1</v>
      </c>
      <c r="G140" t="s">
        <v>3</v>
      </c>
      <c r="H140" t="s">
        <v>2</v>
      </c>
      <c r="I140" t="s">
        <v>4</v>
      </c>
      <c r="K140" s="186"/>
    </row>
    <row r="141" ht="13.5">
      <c r="K141" s="186"/>
    </row>
    <row r="142" ht="13.5">
      <c r="K142" s="186"/>
    </row>
    <row r="143" ht="13.5">
      <c r="K143" s="186"/>
    </row>
    <row r="144" ht="13.5">
      <c r="K144" s="186"/>
    </row>
    <row r="145" ht="13.5">
      <c r="K145" s="186"/>
    </row>
    <row r="146" ht="13.5">
      <c r="K146" s="186"/>
    </row>
    <row r="147" ht="13.5">
      <c r="K147" s="186"/>
    </row>
    <row r="148" ht="13.5">
      <c r="K148" s="186"/>
    </row>
    <row r="149" ht="13.5">
      <c r="K149" s="186"/>
    </row>
    <row r="150" ht="13.5">
      <c r="K150" s="186"/>
    </row>
    <row r="151" ht="13.5">
      <c r="K151" s="186"/>
    </row>
    <row r="152" ht="13.5">
      <c r="K152" s="186"/>
    </row>
    <row r="153" ht="13.5">
      <c r="K153" s="186"/>
    </row>
    <row r="154" ht="13.5">
      <c r="K154" s="186"/>
    </row>
    <row r="155" ht="13.5">
      <c r="K155" s="186"/>
    </row>
    <row r="156" ht="13.5">
      <c r="K156" s="186"/>
    </row>
    <row r="157" ht="13.5">
      <c r="K157" s="186"/>
    </row>
    <row r="158" ht="13.5">
      <c r="K158" s="186"/>
    </row>
    <row r="159" spans="2:12" ht="13.5">
      <c r="B159" t="s">
        <v>2025</v>
      </c>
      <c r="C159" t="s">
        <v>57</v>
      </c>
      <c r="D159" t="s">
        <v>28</v>
      </c>
      <c r="E159" t="s">
        <v>1021</v>
      </c>
      <c r="F159" t="s">
        <v>51</v>
      </c>
      <c r="G159" t="s">
        <v>1271</v>
      </c>
      <c r="H159" t="s">
        <v>1645</v>
      </c>
      <c r="I159" t="s">
        <v>1018</v>
      </c>
      <c r="J159" t="s">
        <v>1524</v>
      </c>
      <c r="K159" s="1" t="s">
        <v>1930</v>
      </c>
      <c r="L159" s="51" t="s">
        <v>1931</v>
      </c>
    </row>
    <row r="160" spans="1:27" ht="13.5">
      <c r="A160" t="s">
        <v>320</v>
      </c>
      <c r="B160" s="143" t="s">
        <v>610</v>
      </c>
      <c r="C160" s="144">
        <v>1683</v>
      </c>
      <c r="D160" s="343">
        <v>40254</v>
      </c>
      <c r="E160" s="114">
        <v>3238</v>
      </c>
      <c r="F160" s="114">
        <v>58</v>
      </c>
      <c r="G160" s="114">
        <v>208000000</v>
      </c>
      <c r="H160" s="114">
        <v>204000000</v>
      </c>
      <c r="I160" s="267"/>
      <c r="J160" s="269"/>
      <c r="K160" s="267"/>
      <c r="L160" s="268"/>
      <c r="O160" s="189" t="e">
        <f>365*K160/L160/(E160-IF(D160=J160,0,F160))*1</f>
        <v>#DIV/0!</v>
      </c>
      <c r="P160" s="37"/>
      <c r="R160" s="34" t="str">
        <f>HYPERLINK("http://company.nikkei.co.jp/disclose/disclose.aspx?scode="&amp;C160,"開示")</f>
        <v>開示</v>
      </c>
      <c r="T160" s="2">
        <v>0.004725</v>
      </c>
      <c r="U160" s="51">
        <v>10</v>
      </c>
      <c r="V160" s="219">
        <f>(G160/E160-H160/(E160-F160))*U160</f>
        <v>862.4005034554284</v>
      </c>
      <c r="W160">
        <v>24500</v>
      </c>
      <c r="X160">
        <f>ROUND(V160/W160,0)</f>
        <v>0</v>
      </c>
      <c r="Z160" t="s">
        <v>136</v>
      </c>
      <c r="AA160" t="s">
        <v>852</v>
      </c>
    </row>
    <row r="161" ht="13.5"/>
    <row r="162" ht="13.5"/>
    <row r="163" ht="13.5"/>
    <row r="164" ht="13.5"/>
    <row r="165" ht="13.5"/>
    <row r="166" ht="13.5"/>
    <row r="167" ht="13.5"/>
    <row r="168" ht="13.5"/>
    <row r="169" ht="13.5"/>
    <row r="170" ht="13.5"/>
    <row r="171" spans="2:21" s="244" customFormat="1" ht="13.5">
      <c r="B171" s="270"/>
      <c r="C171" s="244" t="s">
        <v>156</v>
      </c>
      <c r="L171" s="245"/>
      <c r="U171" s="245"/>
    </row>
    <row r="172" ht="13.5"/>
    <row r="173" spans="2:9" ht="13.5">
      <c r="B173" t="s">
        <v>1950</v>
      </c>
      <c r="C173" t="s">
        <v>1947</v>
      </c>
      <c r="D173" t="s">
        <v>1948</v>
      </c>
      <c r="E173" t="s">
        <v>1949</v>
      </c>
      <c r="F173" t="s">
        <v>1360</v>
      </c>
      <c r="G173" t="s">
        <v>1764</v>
      </c>
      <c r="H173" t="s">
        <v>1084</v>
      </c>
      <c r="I173" t="s">
        <v>1139</v>
      </c>
    </row>
    <row r="174" spans="1:8" ht="13.5">
      <c r="A174" t="s">
        <v>1946</v>
      </c>
      <c r="B174" s="225" t="s">
        <v>1044</v>
      </c>
      <c r="C174" s="228">
        <v>10445.13</v>
      </c>
      <c r="D174" s="228">
        <v>10540.2</v>
      </c>
      <c r="E174" s="228">
        <v>10445.05</v>
      </c>
      <c r="F174" s="228">
        <v>10526.37</v>
      </c>
      <c r="G174" s="234">
        <v>40242.472916666666</v>
      </c>
      <c r="H174" s="224" t="s">
        <v>1045</v>
      </c>
    </row>
    <row r="175" spans="1:12" ht="13.5">
      <c r="A175" t="s">
        <v>1806</v>
      </c>
      <c r="B175" s="355">
        <v>40256</v>
      </c>
      <c r="C175" s="231">
        <v>10485</v>
      </c>
      <c r="D175" s="231">
        <v>10528</v>
      </c>
      <c r="E175" s="231">
        <v>10475</v>
      </c>
      <c r="F175" s="231">
        <v>10514</v>
      </c>
      <c r="G175" s="235">
        <v>40242.47152777778</v>
      </c>
      <c r="H175" s="304">
        <v>0.5191214576851265</v>
      </c>
      <c r="I175" s="2">
        <v>0.002</v>
      </c>
      <c r="J175" s="347"/>
      <c r="K175" s="233">
        <f ca="1">F174*(EXP(YEARFRAC(TODAY(),B175,1)*I175)-1)</f>
        <v>0</v>
      </c>
      <c r="L175" s="233"/>
    </row>
    <row r="176" spans="2:12" ht="13.5">
      <c r="B176" s="226">
        <v>40339</v>
      </c>
      <c r="C176" s="231">
        <v>10450</v>
      </c>
      <c r="D176" s="231">
        <v>10460</v>
      </c>
      <c r="E176" s="231">
        <v>10450</v>
      </c>
      <c r="F176" s="231">
        <v>10460</v>
      </c>
      <c r="G176" s="235">
        <v>40242.39513888889</v>
      </c>
      <c r="H176" s="229">
        <v>-16.6299999999992</v>
      </c>
      <c r="I176" t="s">
        <v>1088</v>
      </c>
      <c r="J176" s="233"/>
      <c r="K176" s="3"/>
      <c r="L176" s="2"/>
    </row>
    <row r="177" spans="2:12" ht="13.5">
      <c r="B177" s="226">
        <v>40431</v>
      </c>
      <c r="C177" s="231">
        <v>0</v>
      </c>
      <c r="D177" s="231">
        <v>0</v>
      </c>
      <c r="E177" s="231">
        <v>0</v>
      </c>
      <c r="F177" s="231">
        <v>10311</v>
      </c>
      <c r="G177" s="235">
        <v>40241.17569444444</v>
      </c>
      <c r="H177" s="229">
        <v>40.3700000000008</v>
      </c>
      <c r="J177" s="233"/>
      <c r="K177" s="3"/>
      <c r="L177" s="2"/>
    </row>
    <row r="178" spans="2:12" ht="13.5">
      <c r="B178" s="227">
        <v>40522</v>
      </c>
      <c r="C178" s="232">
        <v>0</v>
      </c>
      <c r="D178" s="232">
        <v>0</v>
      </c>
      <c r="E178" s="232">
        <v>0</v>
      </c>
      <c r="F178" s="232">
        <v>10261</v>
      </c>
      <c r="G178" s="236">
        <v>40241.17569444444</v>
      </c>
      <c r="H178" s="230">
        <v>90.3700000000008</v>
      </c>
      <c r="J178" s="233"/>
      <c r="K178" s="3"/>
      <c r="L178" s="2"/>
    </row>
    <row r="180" spans="3:7" ht="13.5">
      <c r="C180" s="233"/>
      <c r="D180" s="233"/>
      <c r="E180" s="233"/>
      <c r="F180" s="233"/>
      <c r="G180" s="233"/>
    </row>
    <row r="181" spans="3:8" ht="13.5">
      <c r="C181" s="186">
        <f>C$174-C175</f>
        <v>-39.8700000000008</v>
      </c>
      <c r="D181" s="186">
        <f aca="true" t="shared" si="17" ref="C181:F182">D$174-D175</f>
        <v>12.200000000000728</v>
      </c>
      <c r="E181" s="186">
        <f t="shared" si="17"/>
        <v>-29.950000000000728</v>
      </c>
      <c r="F181" s="186">
        <f t="shared" si="17"/>
        <v>12.3700000000008</v>
      </c>
      <c r="G181" s="186">
        <f>AVERAGE(C181:F181)</f>
        <v>-11.3125</v>
      </c>
      <c r="H181" t="s">
        <v>1616</v>
      </c>
    </row>
    <row r="182" spans="3:7" ht="13.5">
      <c r="C182" s="186">
        <f t="shared" si="17"/>
        <v>-4.8700000000008</v>
      </c>
      <c r="D182" s="186">
        <f t="shared" si="17"/>
        <v>80.20000000000073</v>
      </c>
      <c r="E182" s="186">
        <f t="shared" si="17"/>
        <v>-4.950000000000728</v>
      </c>
      <c r="F182" s="186">
        <f t="shared" si="17"/>
        <v>66.3700000000008</v>
      </c>
      <c r="G182" s="186">
        <f>AVERAGE(C182:F182)</f>
        <v>34.1875</v>
      </c>
    </row>
    <row r="183" spans="3:7" ht="13.5">
      <c r="C183" s="186">
        <f aca="true" t="shared" si="18" ref="C183:F184">C$174-C177</f>
        <v>10445.13</v>
      </c>
      <c r="D183" s="186">
        <f t="shared" si="18"/>
        <v>10540.2</v>
      </c>
      <c r="E183" s="186">
        <f t="shared" si="18"/>
        <v>10445.05</v>
      </c>
      <c r="F183" s="186">
        <f t="shared" si="18"/>
        <v>215.3700000000008</v>
      </c>
      <c r="G183" s="186">
        <f>AVERAGE(C183:F183)</f>
        <v>7911.4375</v>
      </c>
    </row>
    <row r="184" spans="3:7" ht="13.5">
      <c r="C184" s="186">
        <f t="shared" si="18"/>
        <v>10445.13</v>
      </c>
      <c r="D184" s="186">
        <f t="shared" si="18"/>
        <v>10540.2</v>
      </c>
      <c r="E184" s="186">
        <f t="shared" si="18"/>
        <v>10445.05</v>
      </c>
      <c r="F184" s="186">
        <f t="shared" si="18"/>
        <v>265.3700000000008</v>
      </c>
      <c r="G184" s="186">
        <f>AVERAGE(C184:F184)</f>
        <v>7923.9375</v>
      </c>
    </row>
    <row r="186" spans="12:21" s="305" customFormat="1" ht="13.5">
      <c r="L186" s="306"/>
      <c r="M186" s="307"/>
      <c r="N186" s="307"/>
      <c r="O186" s="308"/>
      <c r="U186" s="306"/>
    </row>
    <row r="187" spans="1:6" ht="13.5">
      <c r="A187" t="s">
        <v>318</v>
      </c>
      <c r="B187" t="s">
        <v>317</v>
      </c>
      <c r="C187" s="71">
        <v>40221</v>
      </c>
      <c r="D187">
        <v>261.99</v>
      </c>
      <c r="F187" s="37" t="s">
        <v>319</v>
      </c>
    </row>
    <row r="193" spans="1:8" ht="13.5">
      <c r="A193" t="s">
        <v>391</v>
      </c>
      <c r="C193" s="233" t="s">
        <v>393</v>
      </c>
      <c r="D193" t="s">
        <v>1194</v>
      </c>
      <c r="E193" s="233" t="s">
        <v>1808</v>
      </c>
      <c r="F193" t="s">
        <v>1809</v>
      </c>
      <c r="G193" s="233" t="s">
        <v>394</v>
      </c>
      <c r="H193" s="233"/>
    </row>
    <row r="194" spans="2:7" ht="14.25">
      <c r="B194" t="s">
        <v>392</v>
      </c>
      <c r="C194" s="62" t="s">
        <v>2055</v>
      </c>
      <c r="D194" s="3">
        <f>$D$71</f>
        <v>40254</v>
      </c>
      <c r="E194" s="233"/>
      <c r="F194" s="233"/>
      <c r="G194" s="237"/>
    </row>
    <row r="195" spans="2:7" ht="14.25">
      <c r="B195" t="s">
        <v>392</v>
      </c>
      <c r="C195" s="62" t="s">
        <v>2057</v>
      </c>
      <c r="D195" s="3">
        <f>$D$71</f>
        <v>40254</v>
      </c>
      <c r="E195" s="233"/>
      <c r="F195" s="233"/>
      <c r="G195" s="233"/>
    </row>
    <row r="196" spans="2:7" ht="13.5">
      <c r="B196" t="s">
        <v>392</v>
      </c>
      <c r="C196" s="233" t="s">
        <v>1715</v>
      </c>
      <c r="D196" s="233"/>
      <c r="E196" s="233"/>
      <c r="F196" s="233"/>
      <c r="G196" s="233"/>
    </row>
    <row r="197" ht="13.5">
      <c r="G197" s="51"/>
    </row>
    <row r="198" ht="13.5">
      <c r="G198" s="44"/>
    </row>
    <row r="199" spans="4:6" ht="13.5">
      <c r="D199" t="s">
        <v>1194</v>
      </c>
      <c r="E199" t="s">
        <v>2040</v>
      </c>
      <c r="F199" t="s">
        <v>1716</v>
      </c>
    </row>
    <row r="200" spans="1:10" ht="13.5">
      <c r="A200" t="s">
        <v>1714</v>
      </c>
      <c r="B200" s="143" t="s">
        <v>2004</v>
      </c>
      <c r="C200" s="144"/>
      <c r="D200" s="71">
        <v>40227</v>
      </c>
      <c r="E200" s="261">
        <v>0.3229166666666667</v>
      </c>
      <c r="F200">
        <v>38.89</v>
      </c>
      <c r="G200">
        <v>-0.3</v>
      </c>
      <c r="H200" s="142">
        <f>G200/(F200-G200)</f>
        <v>-0.007655014034192396</v>
      </c>
      <c r="J200" t="s">
        <v>2005</v>
      </c>
    </row>
    <row r="201" spans="3:10" ht="13.5">
      <c r="C201" t="s">
        <v>726</v>
      </c>
      <c r="J201" t="s">
        <v>2006</v>
      </c>
    </row>
    <row r="202" spans="2:3" ht="13.5">
      <c r="B202" t="s">
        <v>725</v>
      </c>
      <c r="C202" t="s">
        <v>727</v>
      </c>
    </row>
    <row r="205" spans="2:7" ht="13.5">
      <c r="B205" t="s">
        <v>1365</v>
      </c>
      <c r="C205" t="s">
        <v>2019</v>
      </c>
      <c r="D205" t="s">
        <v>2040</v>
      </c>
      <c r="E205" t="s">
        <v>50</v>
      </c>
      <c r="F205" t="s">
        <v>51</v>
      </c>
      <c r="G205" t="s">
        <v>755</v>
      </c>
    </row>
    <row r="206" spans="1:7" ht="13.5">
      <c r="A206" t="s">
        <v>756</v>
      </c>
      <c r="B206" s="9" t="s">
        <v>753</v>
      </c>
      <c r="C206" s="15">
        <v>40254</v>
      </c>
      <c r="D206" s="310">
        <v>0</v>
      </c>
      <c r="E206" s="322">
        <v>1187.93</v>
      </c>
      <c r="F206" s="10">
        <v>8.3</v>
      </c>
      <c r="G206" s="361">
        <f aca="true" t="shared" si="19" ref="G206:G221">(F206+0)/(E206-F206)</f>
        <v>0.007036104541254461</v>
      </c>
    </row>
    <row r="207" spans="2:7" ht="13.5">
      <c r="B207" s="11" t="s">
        <v>754</v>
      </c>
      <c r="C207" s="16">
        <v>40254</v>
      </c>
      <c r="D207" s="360">
        <v>0</v>
      </c>
      <c r="E207" s="102">
        <v>1005.77</v>
      </c>
      <c r="F207" s="12">
        <v>14.29</v>
      </c>
      <c r="G207" s="362">
        <f t="shared" si="19"/>
        <v>0.014412797030701576</v>
      </c>
    </row>
    <row r="208" spans="2:7" ht="13.5">
      <c r="B208" s="11" t="s">
        <v>1861</v>
      </c>
      <c r="C208" s="16">
        <v>40254</v>
      </c>
      <c r="D208" s="360">
        <v>0</v>
      </c>
      <c r="E208" s="102">
        <v>134.2</v>
      </c>
      <c r="F208" s="12">
        <v>1.302</v>
      </c>
      <c r="G208" s="362">
        <f t="shared" si="19"/>
        <v>0.009796987163087481</v>
      </c>
    </row>
    <row r="209" spans="2:7" ht="13.5">
      <c r="B209" s="11" t="s">
        <v>1862</v>
      </c>
      <c r="C209" s="16">
        <v>40254</v>
      </c>
      <c r="D209" s="360">
        <v>0</v>
      </c>
      <c r="E209" s="102">
        <v>123.46</v>
      </c>
      <c r="F209" s="12">
        <v>0.893</v>
      </c>
      <c r="G209" s="362">
        <f t="shared" si="19"/>
        <v>0.007285811025806294</v>
      </c>
    </row>
    <row r="210" spans="2:7" ht="13.5">
      <c r="B210" s="11" t="s">
        <v>1863</v>
      </c>
      <c r="C210" s="16">
        <v>40254</v>
      </c>
      <c r="D210" s="360">
        <v>0</v>
      </c>
      <c r="E210" s="102">
        <v>177.84</v>
      </c>
      <c r="F210" s="12">
        <v>2.834</v>
      </c>
      <c r="G210" s="362">
        <f t="shared" si="19"/>
        <v>0.016193730500668548</v>
      </c>
    </row>
    <row r="211" spans="2:7" ht="13.5">
      <c r="B211" s="11" t="s">
        <v>1864</v>
      </c>
      <c r="C211" s="16">
        <v>40254</v>
      </c>
      <c r="D211" s="360">
        <v>0</v>
      </c>
      <c r="E211" s="102">
        <v>59.47</v>
      </c>
      <c r="F211" s="12">
        <v>0.753</v>
      </c>
      <c r="G211" s="362">
        <f t="shared" si="19"/>
        <v>0.012824224670878962</v>
      </c>
    </row>
    <row r="212" spans="2:7" ht="13.5">
      <c r="B212" s="11" t="s">
        <v>1865</v>
      </c>
      <c r="C212" s="16">
        <v>40254</v>
      </c>
      <c r="D212" s="360">
        <v>0</v>
      </c>
      <c r="E212" s="102">
        <v>44.24</v>
      </c>
      <c r="F212" s="12">
        <v>0.757</v>
      </c>
      <c r="G212" s="362">
        <f t="shared" si="19"/>
        <v>0.017409102407837544</v>
      </c>
    </row>
    <row r="213" spans="2:7" ht="13.5">
      <c r="B213" s="11" t="s">
        <v>1866</v>
      </c>
      <c r="C213" s="16">
        <v>40254</v>
      </c>
      <c r="D213" s="360">
        <v>0</v>
      </c>
      <c r="E213" s="102">
        <v>4.14</v>
      </c>
      <c r="F213" s="12">
        <v>-0.044</v>
      </c>
      <c r="G213" s="362">
        <f t="shared" si="19"/>
        <v>-0.010516252390057363</v>
      </c>
    </row>
    <row r="214" spans="2:7" ht="13.5">
      <c r="B214" s="11" t="s">
        <v>1867</v>
      </c>
      <c r="C214" s="16">
        <v>40254</v>
      </c>
      <c r="D214" s="360">
        <v>0</v>
      </c>
      <c r="E214" s="102">
        <v>267.32</v>
      </c>
      <c r="F214" s="12">
        <v>3.984</v>
      </c>
      <c r="G214" s="362">
        <f t="shared" si="19"/>
        <v>0.01512896071938512</v>
      </c>
    </row>
    <row r="215" spans="2:7" ht="13.5">
      <c r="B215" s="11" t="s">
        <v>1868</v>
      </c>
      <c r="C215" s="16">
        <v>40254</v>
      </c>
      <c r="D215" s="360">
        <v>0</v>
      </c>
      <c r="E215" s="102">
        <v>332.9</v>
      </c>
      <c r="F215" s="12">
        <v>5.117</v>
      </c>
      <c r="G215" s="362">
        <f t="shared" si="19"/>
        <v>0.015610937724043043</v>
      </c>
    </row>
    <row r="216" spans="2:7" ht="13.5">
      <c r="B216" s="11" t="s">
        <v>1869</v>
      </c>
      <c r="C216" s="16">
        <v>40254</v>
      </c>
      <c r="D216" s="360">
        <v>0</v>
      </c>
      <c r="E216" s="102">
        <v>55.24</v>
      </c>
      <c r="F216" s="12">
        <v>0.888</v>
      </c>
      <c r="G216" s="362">
        <f t="shared" si="19"/>
        <v>0.016337945245805122</v>
      </c>
    </row>
    <row r="217" spans="2:7" ht="13.5">
      <c r="B217" s="11" t="s">
        <v>1870</v>
      </c>
      <c r="C217" s="16">
        <v>40254</v>
      </c>
      <c r="D217" s="360">
        <v>0</v>
      </c>
      <c r="E217" s="102">
        <v>375.91</v>
      </c>
      <c r="F217" s="12">
        <v>5.829</v>
      </c>
      <c r="G217" s="362">
        <f t="shared" si="19"/>
        <v>0.015750605948427504</v>
      </c>
    </row>
    <row r="218" spans="2:7" ht="13.5">
      <c r="B218" s="11" t="s">
        <v>1871</v>
      </c>
      <c r="C218" s="16">
        <v>40254</v>
      </c>
      <c r="D218" s="360">
        <v>0</v>
      </c>
      <c r="E218" s="102">
        <v>251.77</v>
      </c>
      <c r="F218" s="12">
        <v>3.962</v>
      </c>
      <c r="G218" s="362">
        <f t="shared" si="19"/>
        <v>0.015988184400826444</v>
      </c>
    </row>
    <row r="219" spans="2:9" ht="13.5">
      <c r="B219" s="11" t="s">
        <v>1872</v>
      </c>
      <c r="C219" s="16">
        <v>40254</v>
      </c>
      <c r="D219" s="360">
        <v>0</v>
      </c>
      <c r="E219" s="102">
        <v>18.43</v>
      </c>
      <c r="F219" s="12">
        <v>0.335</v>
      </c>
      <c r="G219" s="362">
        <f t="shared" si="19"/>
        <v>0.0185134014921249</v>
      </c>
      <c r="I219" s="369"/>
    </row>
    <row r="220" spans="2:9" ht="13.5">
      <c r="B220" s="11" t="s">
        <v>1873</v>
      </c>
      <c r="C220" s="16">
        <v>40254</v>
      </c>
      <c r="D220" s="360">
        <v>0</v>
      </c>
      <c r="E220" s="102">
        <v>12.61</v>
      </c>
      <c r="F220" s="12">
        <v>0.244</v>
      </c>
      <c r="G220" s="362">
        <f t="shared" si="19"/>
        <v>0.019731521914928028</v>
      </c>
      <c r="I220" s="369"/>
    </row>
    <row r="221" spans="2:9" ht="13.5">
      <c r="B221" s="13" t="s">
        <v>1874</v>
      </c>
      <c r="C221" s="17">
        <v>40254</v>
      </c>
      <c r="D221" s="311">
        <v>0</v>
      </c>
      <c r="E221" s="323">
        <v>144.84</v>
      </c>
      <c r="F221" s="14">
        <v>2.114</v>
      </c>
      <c r="G221" s="363">
        <f t="shared" si="19"/>
        <v>0.014811597046088308</v>
      </c>
      <c r="I221" s="369"/>
    </row>
    <row r="222" spans="2:7" ht="13.5">
      <c r="B222" s="12"/>
      <c r="C222" s="16"/>
      <c r="D222" s="360"/>
      <c r="E222" s="102"/>
      <c r="F222" s="102"/>
      <c r="G222" s="30"/>
    </row>
    <row r="223" spans="2:7" ht="13.5">
      <c r="B223" s="12"/>
      <c r="C223" s="16"/>
      <c r="D223" s="360"/>
      <c r="E223" s="102"/>
      <c r="F223" s="12"/>
      <c r="G223" s="30"/>
    </row>
    <row r="224" spans="2:8" ht="13.5">
      <c r="B224" s="67" t="s">
        <v>1365</v>
      </c>
      <c r="C224" s="16" t="s">
        <v>1362</v>
      </c>
      <c r="D224" s="360" t="s">
        <v>33</v>
      </c>
      <c r="E224" s="102" t="s">
        <v>31</v>
      </c>
      <c r="F224" s="12" t="s">
        <v>1363</v>
      </c>
      <c r="G224" s="30" t="s">
        <v>1364</v>
      </c>
      <c r="H224" t="s">
        <v>332</v>
      </c>
    </row>
    <row r="225" spans="1:8" ht="13.5">
      <c r="A225" t="s">
        <v>1361</v>
      </c>
      <c r="B225" s="9" t="s">
        <v>1875</v>
      </c>
      <c r="C225" s="15">
        <v>40254</v>
      </c>
      <c r="D225" s="15">
        <v>40253</v>
      </c>
      <c r="E225" s="392">
        <v>14.074</v>
      </c>
      <c r="F225" s="365">
        <v>-0.00031</v>
      </c>
      <c r="G225" s="364">
        <v>14.15</v>
      </c>
      <c r="H225" s="391">
        <f>E225*IF(D225&lt;C206,(1+G206),1)</f>
        <v>14.173026135313613</v>
      </c>
    </row>
    <row r="226" spans="2:8" ht="13.5">
      <c r="B226" s="11" t="s">
        <v>1876</v>
      </c>
      <c r="C226" s="16">
        <v>40254</v>
      </c>
      <c r="D226" s="16">
        <v>40253</v>
      </c>
      <c r="E226" s="393">
        <v>12.874</v>
      </c>
      <c r="F226" s="246">
        <v>-0.00107</v>
      </c>
      <c r="G226" s="134">
        <v>12.9</v>
      </c>
      <c r="H226" s="391">
        <f aca="true" t="shared" si="20" ref="H226:H238">E226*IF(D226&lt;C207,(1+G207),1)</f>
        <v>13.059550348973252</v>
      </c>
    </row>
    <row r="227" spans="2:8" ht="13.5">
      <c r="B227" s="11" t="s">
        <v>1877</v>
      </c>
      <c r="C227" s="16">
        <v>40254</v>
      </c>
      <c r="D227" s="16">
        <v>40253</v>
      </c>
      <c r="E227" s="393">
        <v>18.112</v>
      </c>
      <c r="F227" s="246">
        <v>0.00043999999999999996</v>
      </c>
      <c r="G227" s="134">
        <v>18.32</v>
      </c>
      <c r="H227" s="391">
        <f t="shared" si="20"/>
        <v>18.289443031497836</v>
      </c>
    </row>
    <row r="228" spans="2:8" ht="13.5">
      <c r="B228" s="11" t="s">
        <v>1878</v>
      </c>
      <c r="C228" s="16">
        <v>40254</v>
      </c>
      <c r="D228" s="16">
        <v>40253</v>
      </c>
      <c r="E228" s="393">
        <v>5.996</v>
      </c>
      <c r="F228" s="246">
        <v>-0.00188</v>
      </c>
      <c r="G228" s="134">
        <v>6.038</v>
      </c>
      <c r="H228" s="391">
        <f t="shared" si="20"/>
        <v>6.039685722910735</v>
      </c>
    </row>
    <row r="229" spans="2:8" ht="13.5">
      <c r="B229" s="11" t="s">
        <v>1879</v>
      </c>
      <c r="C229" s="16">
        <v>40254</v>
      </c>
      <c r="D229" s="16">
        <v>40253</v>
      </c>
      <c r="E229" s="393">
        <v>4.553</v>
      </c>
      <c r="F229" s="246">
        <v>-0.0034200000000000003</v>
      </c>
      <c r="G229" s="134">
        <v>4.6</v>
      </c>
      <c r="H229" s="391">
        <f t="shared" si="20"/>
        <v>4.626730054969544</v>
      </c>
    </row>
    <row r="230" spans="2:8" ht="13.5">
      <c r="B230" s="11" t="s">
        <v>1880</v>
      </c>
      <c r="C230" s="16">
        <v>40254</v>
      </c>
      <c r="D230" s="16">
        <v>40253</v>
      </c>
      <c r="E230" s="393">
        <v>0.435</v>
      </c>
      <c r="F230" s="246">
        <v>-0.001</v>
      </c>
      <c r="G230" s="134">
        <v>0.43</v>
      </c>
      <c r="H230" s="391">
        <f t="shared" si="20"/>
        <v>0.44057853773183236</v>
      </c>
    </row>
    <row r="231" spans="2:8" ht="13.5">
      <c r="B231" s="11" t="s">
        <v>1881</v>
      </c>
      <c r="C231" s="16">
        <v>40254</v>
      </c>
      <c r="D231" s="16">
        <v>40253</v>
      </c>
      <c r="E231" s="393">
        <v>27.421</v>
      </c>
      <c r="F231" s="246">
        <v>-0.00148</v>
      </c>
      <c r="G231" s="134">
        <v>27.6</v>
      </c>
      <c r="H231" s="391">
        <f t="shared" si="20"/>
        <v>27.898374997125313</v>
      </c>
    </row>
    <row r="232" spans="2:8" ht="13.5">
      <c r="B232" s="11" t="s">
        <v>1882</v>
      </c>
      <c r="C232" s="16">
        <v>40254</v>
      </c>
      <c r="D232" s="16">
        <v>40253</v>
      </c>
      <c r="E232" s="393">
        <v>34.131</v>
      </c>
      <c r="F232" s="246">
        <v>-3E-05</v>
      </c>
      <c r="G232" s="134">
        <v>34.45</v>
      </c>
      <c r="H232" s="391">
        <f t="shared" si="20"/>
        <v>33.77206978967495</v>
      </c>
    </row>
    <row r="233" spans="2:8" ht="13.5">
      <c r="B233" s="11" t="s">
        <v>1883</v>
      </c>
      <c r="C233" s="16">
        <v>40254</v>
      </c>
      <c r="D233" s="16">
        <v>40253</v>
      </c>
      <c r="E233" s="393">
        <v>5.66</v>
      </c>
      <c r="F233" s="246">
        <v>0.0005</v>
      </c>
      <c r="G233" s="134">
        <v>5.71</v>
      </c>
      <c r="H233" s="391">
        <f t="shared" si="20"/>
        <v>5.74562991767172</v>
      </c>
    </row>
    <row r="234" spans="2:8" ht="13.5">
      <c r="B234" s="11" t="s">
        <v>1884</v>
      </c>
      <c r="C234" s="16">
        <v>40254</v>
      </c>
      <c r="D234" s="16">
        <v>40253</v>
      </c>
      <c r="E234" s="393">
        <v>38.536</v>
      </c>
      <c r="F234" s="246">
        <v>0.0001</v>
      </c>
      <c r="G234" s="134">
        <v>39.05</v>
      </c>
      <c r="H234" s="391">
        <f t="shared" si="20"/>
        <v>39.137583096133724</v>
      </c>
    </row>
    <row r="235" spans="2:8" ht="13.5">
      <c r="B235" s="11" t="s">
        <v>1885</v>
      </c>
      <c r="C235" s="16">
        <v>40254</v>
      </c>
      <c r="D235" s="16">
        <v>40253</v>
      </c>
      <c r="E235" s="393">
        <v>25.804</v>
      </c>
      <c r="F235" s="246">
        <v>-0.00131</v>
      </c>
      <c r="G235" s="134">
        <v>26.09</v>
      </c>
      <c r="H235" s="391">
        <f t="shared" si="20"/>
        <v>26.225584339122758</v>
      </c>
    </row>
    <row r="236" spans="2:8" ht="13.5">
      <c r="B236" s="11" t="s">
        <v>1886</v>
      </c>
      <c r="C236" s="16">
        <v>40254</v>
      </c>
      <c r="D236" s="16">
        <v>40253</v>
      </c>
      <c r="E236" s="393">
        <v>1.884</v>
      </c>
      <c r="F236" s="246">
        <v>-0.0023899999999999998</v>
      </c>
      <c r="G236" s="134">
        <v>1.915</v>
      </c>
      <c r="H236" s="391">
        <f t="shared" si="20"/>
        <v>1.9136741416068375</v>
      </c>
    </row>
    <row r="237" spans="2:8" ht="13.5">
      <c r="B237" s="11" t="s">
        <v>1887</v>
      </c>
      <c r="C237" s="16">
        <v>40254</v>
      </c>
      <c r="D237" s="16">
        <v>40253</v>
      </c>
      <c r="E237" s="393">
        <v>1.287</v>
      </c>
      <c r="F237" s="246">
        <v>-0.0023799999999999997</v>
      </c>
      <c r="G237" s="134">
        <v>1.296</v>
      </c>
      <c r="H237" s="391">
        <f t="shared" si="20"/>
        <v>1.3075767933238636</v>
      </c>
    </row>
    <row r="238" spans="2:8" ht="13.5">
      <c r="B238" s="13" t="s">
        <v>1888</v>
      </c>
      <c r="C238" s="17">
        <v>40254</v>
      </c>
      <c r="D238" s="17">
        <v>40253</v>
      </c>
      <c r="E238" s="394">
        <v>14.862</v>
      </c>
      <c r="F238" s="366">
        <v>-0.00536</v>
      </c>
      <c r="G238" s="136">
        <v>14.985</v>
      </c>
      <c r="H238" s="391">
        <f t="shared" si="20"/>
        <v>15.13714617297596</v>
      </c>
    </row>
    <row r="239" spans="2:7" ht="13.5">
      <c r="B239" s="12"/>
      <c r="C239" s="16"/>
      <c r="D239" s="360"/>
      <c r="E239" s="102"/>
      <c r="F239" s="12"/>
      <c r="G239" s="30"/>
    </row>
    <row r="240" spans="2:8" ht="13.5">
      <c r="B240" s="12"/>
      <c r="C240" s="16"/>
      <c r="D240" s="360"/>
      <c r="E240" s="102"/>
      <c r="F240" s="12"/>
      <c r="G240" s="30"/>
      <c r="H240" t="s">
        <v>1912</v>
      </c>
    </row>
    <row r="241" spans="2:7" ht="13.5">
      <c r="B241" s="12"/>
      <c r="C241" s="16"/>
      <c r="D241" s="360"/>
      <c r="E241" s="102"/>
      <c r="F241" s="12"/>
      <c r="G241" s="30"/>
    </row>
    <row r="242" spans="2:7" ht="13.5">
      <c r="B242" s="12"/>
      <c r="C242" s="16"/>
      <c r="D242" s="360"/>
      <c r="E242" s="102"/>
      <c r="F242" s="12"/>
      <c r="G242" s="30"/>
    </row>
    <row r="243" spans="2:7" ht="13.5">
      <c r="B243" s="12"/>
      <c r="C243" s="16"/>
      <c r="D243" s="360"/>
      <c r="E243" s="102"/>
      <c r="F243" s="12"/>
      <c r="G243" s="30"/>
    </row>
    <row r="244" spans="2:7" ht="13.5">
      <c r="B244" s="12"/>
      <c r="C244" s="16"/>
      <c r="D244" s="360"/>
      <c r="E244" s="102"/>
      <c r="F244" s="12"/>
      <c r="G244" s="30"/>
    </row>
    <row r="245" spans="2:7" ht="13.5">
      <c r="B245" s="12"/>
      <c r="C245" s="16"/>
      <c r="D245" s="360"/>
      <c r="E245" s="102"/>
      <c r="F245" s="12"/>
      <c r="G245" s="30"/>
    </row>
    <row r="246" spans="2:7" ht="13.5">
      <c r="B246" s="12"/>
      <c r="C246" s="16"/>
      <c r="D246" s="360"/>
      <c r="E246" s="102"/>
      <c r="F246" s="12"/>
      <c r="G246" s="30"/>
    </row>
    <row r="247" spans="2:7" ht="13.5">
      <c r="B247" s="12"/>
      <c r="C247" s="16"/>
      <c r="D247" s="360"/>
      <c r="E247" s="102"/>
      <c r="F247" s="12"/>
      <c r="G247" s="30"/>
    </row>
    <row r="248" spans="2:7" ht="13.5">
      <c r="B248" s="12"/>
      <c r="C248" s="16"/>
      <c r="D248" s="360"/>
      <c r="E248" s="102"/>
      <c r="F248" s="12"/>
      <c r="G248" s="30"/>
    </row>
    <row r="249" spans="2:7" ht="13.5">
      <c r="B249" s="12"/>
      <c r="C249" s="16"/>
      <c r="D249" s="360"/>
      <c r="E249" s="102"/>
      <c r="F249" s="12"/>
      <c r="G249" s="30"/>
    </row>
    <row r="250" spans="2:7" ht="13.5">
      <c r="B250" s="12"/>
      <c r="C250" s="16"/>
      <c r="D250" s="360"/>
      <c r="E250" s="102"/>
      <c r="F250" s="12"/>
      <c r="G250" s="30"/>
    </row>
    <row r="253" ht="13.5">
      <c r="A253" t="s">
        <v>1755</v>
      </c>
    </row>
    <row r="254" ht="13.5">
      <c r="B254" t="s">
        <v>1756</v>
      </c>
    </row>
  </sheetData>
  <conditionalFormatting sqref="O131:O159 O161:O65536">
    <cfRule type="cellIs" priority="1" dxfId="0" operator="greaterThan" stopIfTrue="1">
      <formula>0.01</formula>
    </cfRule>
    <cfRule type="cellIs" priority="2" dxfId="1" operator="greaterThanOrEqual" stopIfTrue="1">
      <formula>0.02</formula>
    </cfRule>
    <cfRule type="cellIs" priority="3" dxfId="2" operator="greaterThanOrEqual" stopIfTrue="1">
      <formula>0.05</formula>
    </cfRule>
  </conditionalFormatting>
  <conditionalFormatting sqref="O160 O3:O130">
    <cfRule type="cellIs" priority="4" dxfId="2" operator="greaterThan" stopIfTrue="1">
      <formula>0.05</formula>
    </cfRule>
    <cfRule type="cellIs" priority="5" dxfId="1" operator="greaterThanOrEqual" stopIfTrue="1">
      <formula>0.02</formula>
    </cfRule>
    <cfRule type="cellIs" priority="6" dxfId="0" operator="greaterThanOrEqual" stopIfTrue="1">
      <formula>0.01</formula>
    </cfRule>
  </conditionalFormatting>
  <hyperlinks>
    <hyperlink ref="F187" r:id="rId1" display="http://www.tocom.or.jp/jp/souba/tocom_index/sub_index.html"/>
  </hyperlinks>
  <printOptions/>
  <pageMargins left="0.75" right="0.75" top="1" bottom="1" header="0.512" footer="0.512"/>
  <pageSetup horizontalDpi="600" verticalDpi="600" orientation="portrait" paperSize="9" r:id="rId4"/>
  <legacyDrawing r:id="rId3"/>
</worksheet>
</file>

<file path=xl/worksheets/sheet8.xml><?xml version="1.0" encoding="utf-8"?>
<worksheet xmlns="http://schemas.openxmlformats.org/spreadsheetml/2006/main" xmlns:r="http://schemas.openxmlformats.org/officeDocument/2006/relationships">
  <sheetPr codeName="Sheet17"/>
  <dimension ref="A1:O29"/>
  <sheetViews>
    <sheetView workbookViewId="0" topLeftCell="A1">
      <selection activeCell="A1" sqref="A1"/>
    </sheetView>
  </sheetViews>
  <sheetFormatPr defaultColWidth="9.00390625" defaultRowHeight="13.5"/>
  <cols>
    <col min="14" max="14" width="23.75390625" style="0" customWidth="1"/>
  </cols>
  <sheetData>
    <row r="1" spans="1:2" ht="13.5">
      <c r="A1" t="s">
        <v>1102</v>
      </c>
      <c r="B1" t="s">
        <v>1103</v>
      </c>
    </row>
    <row r="2" ht="13.5">
      <c r="B2" t="s">
        <v>1104</v>
      </c>
    </row>
    <row r="4" spans="3:6" ht="13.5">
      <c r="C4" t="s">
        <v>1105</v>
      </c>
      <c r="F4" t="s">
        <v>1106</v>
      </c>
    </row>
    <row r="5" spans="1:15" ht="13.5">
      <c r="A5" t="s">
        <v>1107</v>
      </c>
      <c r="C5" s="371">
        <v>3117184</v>
      </c>
      <c r="F5" s="371">
        <v>8801469</v>
      </c>
      <c r="I5" t="s">
        <v>1108</v>
      </c>
      <c r="N5" s="377" t="s">
        <v>1680</v>
      </c>
      <c r="O5" s="377" t="s">
        <v>1681</v>
      </c>
    </row>
    <row r="6" spans="1:15" ht="13.5">
      <c r="A6" t="s">
        <v>1109</v>
      </c>
      <c r="C6" s="372">
        <v>77235</v>
      </c>
      <c r="F6" s="372">
        <v>220299</v>
      </c>
      <c r="I6" s="141">
        <v>665520</v>
      </c>
      <c r="N6" s="377" t="s">
        <v>1682</v>
      </c>
      <c r="O6" s="377" t="s">
        <v>1681</v>
      </c>
    </row>
    <row r="7" spans="1:15" ht="13.5">
      <c r="A7" t="s">
        <v>1110</v>
      </c>
      <c r="C7" s="372">
        <v>15499</v>
      </c>
      <c r="F7" s="372">
        <v>44315</v>
      </c>
      <c r="I7" s="141">
        <v>133770</v>
      </c>
      <c r="N7" s="377" t="s">
        <v>1683</v>
      </c>
      <c r="O7" s="377" t="s">
        <v>1681</v>
      </c>
    </row>
    <row r="8" spans="1:15" ht="13.5">
      <c r="A8" t="s">
        <v>1111</v>
      </c>
      <c r="C8" s="375">
        <v>27015</v>
      </c>
      <c r="F8" s="376">
        <v>77226</v>
      </c>
      <c r="I8" s="141">
        <v>233144</v>
      </c>
      <c r="N8" s="377" t="s">
        <v>1111</v>
      </c>
      <c r="O8" s="377" t="s">
        <v>1681</v>
      </c>
    </row>
    <row r="9" spans="3:9" ht="13.5">
      <c r="C9" s="374"/>
      <c r="F9" t="s">
        <v>1112</v>
      </c>
      <c r="I9" t="s">
        <v>1113</v>
      </c>
    </row>
    <row r="10" spans="1:15" ht="13.5">
      <c r="A10" t="s">
        <v>1114</v>
      </c>
      <c r="C10" s="372">
        <v>148545</v>
      </c>
      <c r="F10" s="141">
        <v>166542</v>
      </c>
      <c r="I10" s="378">
        <v>961953</v>
      </c>
      <c r="N10" s="377" t="s">
        <v>1889</v>
      </c>
      <c r="O10" s="377" t="s">
        <v>1890</v>
      </c>
    </row>
    <row r="11" spans="1:15" ht="13.5">
      <c r="A11" t="s">
        <v>1115</v>
      </c>
      <c r="C11" s="372">
        <v>29288</v>
      </c>
      <c r="F11" s="141">
        <v>32832</v>
      </c>
      <c r="I11" s="372">
        <v>189901</v>
      </c>
      <c r="N11" s="377" t="s">
        <v>1115</v>
      </c>
      <c r="O11" s="377" t="s">
        <v>1893</v>
      </c>
    </row>
    <row r="12" spans="1:15" ht="13.5">
      <c r="A12" t="s">
        <v>1116</v>
      </c>
      <c r="C12" s="370">
        <v>44018</v>
      </c>
      <c r="F12" s="141">
        <v>49349</v>
      </c>
      <c r="I12" s="370">
        <v>285413</v>
      </c>
      <c r="N12" s="377" t="s">
        <v>1684</v>
      </c>
      <c r="O12" s="377" t="s">
        <v>1890</v>
      </c>
    </row>
    <row r="13" spans="1:15" ht="13.5">
      <c r="A13" t="s">
        <v>1117</v>
      </c>
      <c r="C13" s="372">
        <v>16426</v>
      </c>
      <c r="F13" s="141">
        <v>18415</v>
      </c>
      <c r="I13" s="379">
        <v>106570</v>
      </c>
      <c r="N13" s="377" t="s">
        <v>1685</v>
      </c>
      <c r="O13" s="377" t="s">
        <v>1890</v>
      </c>
    </row>
    <row r="14" spans="3:9" ht="13.5">
      <c r="C14" s="374"/>
      <c r="I14" t="s">
        <v>1118</v>
      </c>
    </row>
    <row r="15" spans="1:15" ht="13.5">
      <c r="A15" t="s">
        <v>1119</v>
      </c>
      <c r="C15" s="375">
        <v>90231</v>
      </c>
      <c r="F15" s="141">
        <v>101594</v>
      </c>
      <c r="I15" s="141">
        <v>846555</v>
      </c>
      <c r="N15" s="377" t="s">
        <v>1119</v>
      </c>
      <c r="O15" s="377" t="s">
        <v>1893</v>
      </c>
    </row>
    <row r="16" spans="1:15" ht="13.5">
      <c r="A16" t="s">
        <v>1120</v>
      </c>
      <c r="C16" s="375">
        <v>23114</v>
      </c>
      <c r="F16" s="141">
        <v>25916</v>
      </c>
      <c r="I16" s="141">
        <v>216771</v>
      </c>
      <c r="N16" s="377" t="s">
        <v>1120</v>
      </c>
      <c r="O16" s="377" t="s">
        <v>1893</v>
      </c>
    </row>
    <row r="17" spans="3:9" ht="13.5">
      <c r="C17" s="374"/>
      <c r="I17" t="s">
        <v>1121</v>
      </c>
    </row>
    <row r="18" spans="1:15" ht="13.5">
      <c r="A18" t="s">
        <v>1122</v>
      </c>
      <c r="C18" s="375">
        <v>80763</v>
      </c>
      <c r="F18" s="141">
        <v>91140</v>
      </c>
      <c r="I18" s="141">
        <v>345719</v>
      </c>
      <c r="N18" s="377" t="s">
        <v>1123</v>
      </c>
      <c r="O18" s="377" t="s">
        <v>1686</v>
      </c>
    </row>
    <row r="19" spans="1:15" ht="13.5">
      <c r="A19" t="s">
        <v>1123</v>
      </c>
      <c r="C19" s="375">
        <v>280499</v>
      </c>
      <c r="F19" s="141">
        <v>318228</v>
      </c>
      <c r="I19" s="141">
        <v>1201145</v>
      </c>
      <c r="N19" s="377" t="s">
        <v>1122</v>
      </c>
      <c r="O19" s="377" t="s">
        <v>1686</v>
      </c>
    </row>
    <row r="20" spans="3:12" ht="13.5">
      <c r="C20" s="374"/>
      <c r="I20" t="s">
        <v>1124</v>
      </c>
      <c r="L20" t="s">
        <v>1125</v>
      </c>
    </row>
    <row r="21" spans="1:15" ht="13.5">
      <c r="A21" t="s">
        <v>1126</v>
      </c>
      <c r="C21" s="372">
        <v>322260</v>
      </c>
      <c r="F21" s="141">
        <v>367014</v>
      </c>
      <c r="I21" s="371">
        <v>508501</v>
      </c>
      <c r="L21" s="371">
        <v>586042</v>
      </c>
      <c r="N21" s="377" t="s">
        <v>1126</v>
      </c>
      <c r="O21" s="377" t="s">
        <v>1687</v>
      </c>
    </row>
    <row r="22" spans="1:15" ht="13.5">
      <c r="A22" t="s">
        <v>1127</v>
      </c>
      <c r="C22" s="372">
        <v>700419</v>
      </c>
      <c r="F22" s="141">
        <v>769029</v>
      </c>
      <c r="I22" s="372">
        <v>1008005</v>
      </c>
      <c r="L22" s="372">
        <v>1199849</v>
      </c>
      <c r="N22" s="377" t="s">
        <v>1127</v>
      </c>
      <c r="O22" s="377" t="s">
        <v>1687</v>
      </c>
    </row>
    <row r="23" spans="1:15" ht="13.5">
      <c r="A23" t="s">
        <v>1128</v>
      </c>
      <c r="C23" s="372">
        <v>73528</v>
      </c>
      <c r="F23" s="141">
        <v>83065</v>
      </c>
      <c r="I23" s="372">
        <v>108890</v>
      </c>
      <c r="L23" s="373">
        <v>128127</v>
      </c>
      <c r="N23" s="377" t="s">
        <v>1128</v>
      </c>
      <c r="O23" s="377" t="s">
        <v>1687</v>
      </c>
    </row>
    <row r="24" spans="3:12" ht="13.5">
      <c r="C24" s="374"/>
      <c r="I24" s="374"/>
      <c r="L24" t="s">
        <v>1129</v>
      </c>
    </row>
    <row r="25" spans="1:15" ht="13.5">
      <c r="A25" t="s">
        <v>1130</v>
      </c>
      <c r="C25" s="370">
        <v>19001</v>
      </c>
      <c r="F25" s="141">
        <v>21305</v>
      </c>
      <c r="I25" s="370">
        <v>28192</v>
      </c>
      <c r="L25" s="141">
        <v>108505</v>
      </c>
      <c r="N25" s="377" t="s">
        <v>1688</v>
      </c>
      <c r="O25" s="377" t="s">
        <v>1892</v>
      </c>
    </row>
    <row r="26" spans="1:15" ht="13.5">
      <c r="A26" t="s">
        <v>1131</v>
      </c>
      <c r="C26" s="375">
        <v>172066</v>
      </c>
      <c r="F26" s="141">
        <v>192914</v>
      </c>
      <c r="I26" s="375">
        <v>255266</v>
      </c>
      <c r="L26" s="141">
        <v>980019</v>
      </c>
      <c r="N26" s="377" t="s">
        <v>1131</v>
      </c>
      <c r="O26" s="377" t="s">
        <v>1892</v>
      </c>
    </row>
    <row r="27" spans="1:15" ht="13.5">
      <c r="A27" t="s">
        <v>1132</v>
      </c>
      <c r="C27" s="370">
        <v>140161</v>
      </c>
      <c r="F27" s="141">
        <v>157190</v>
      </c>
      <c r="I27" s="370">
        <v>207932</v>
      </c>
      <c r="L27" s="141">
        <v>795325</v>
      </c>
      <c r="N27" s="377" t="s">
        <v>1891</v>
      </c>
      <c r="O27" s="377" t="s">
        <v>1892</v>
      </c>
    </row>
    <row r="28" spans="3:9" ht="13.5">
      <c r="C28" s="374"/>
      <c r="I28" s="374"/>
    </row>
    <row r="29" spans="1:15" ht="13.5">
      <c r="A29" t="s">
        <v>1133</v>
      </c>
      <c r="C29" s="376">
        <v>63212</v>
      </c>
      <c r="F29" s="141">
        <v>71650</v>
      </c>
      <c r="I29" s="376">
        <v>94911</v>
      </c>
      <c r="N29" s="377" t="s">
        <v>1133</v>
      </c>
      <c r="O29" s="377" t="s">
        <v>1687</v>
      </c>
    </row>
  </sheetData>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sheetPr codeName="Sheet14"/>
  <dimension ref="A1:G9"/>
  <sheetViews>
    <sheetView workbookViewId="0" topLeftCell="A1">
      <selection activeCell="A2" sqref="A2"/>
    </sheetView>
  </sheetViews>
  <sheetFormatPr defaultColWidth="9.00390625" defaultRowHeight="13.5"/>
  <sheetData>
    <row r="1" spans="1:7" ht="13.5">
      <c r="A1" t="s">
        <v>1340</v>
      </c>
      <c r="B1" t="s">
        <v>1341</v>
      </c>
      <c r="C1" t="s">
        <v>1342</v>
      </c>
      <c r="D1" t="s">
        <v>1343</v>
      </c>
      <c r="E1" t="s">
        <v>1344</v>
      </c>
      <c r="F1" t="s">
        <v>1345</v>
      </c>
      <c r="G1" t="s">
        <v>1346</v>
      </c>
    </row>
    <row r="2" spans="1:7" ht="13.5">
      <c r="A2" t="s">
        <v>1562</v>
      </c>
      <c r="B2">
        <v>1672</v>
      </c>
      <c r="C2" t="s">
        <v>1347</v>
      </c>
      <c r="D2">
        <v>0.099092</v>
      </c>
      <c r="E2" t="s">
        <v>1348</v>
      </c>
      <c r="F2" s="100">
        <v>8901.55</v>
      </c>
      <c r="G2" s="3">
        <v>40049</v>
      </c>
    </row>
    <row r="3" spans="1:7" ht="13.5">
      <c r="A3" t="s">
        <v>1563</v>
      </c>
      <c r="B3">
        <v>1673</v>
      </c>
      <c r="C3" t="s">
        <v>1347</v>
      </c>
      <c r="D3">
        <v>0.9885996</v>
      </c>
      <c r="E3" t="s">
        <v>1349</v>
      </c>
      <c r="F3" s="100">
        <v>1344.94</v>
      </c>
      <c r="G3" s="3">
        <v>40049</v>
      </c>
    </row>
    <row r="4" spans="1:7" ht="13.5">
      <c r="A4" t="s">
        <v>1568</v>
      </c>
      <c r="B4">
        <v>1674</v>
      </c>
      <c r="C4" t="s">
        <v>1347</v>
      </c>
      <c r="D4">
        <v>0.09886</v>
      </c>
      <c r="E4" t="s">
        <v>1350</v>
      </c>
      <c r="F4" s="100">
        <v>11610.71</v>
      </c>
      <c r="G4" s="3">
        <v>40049</v>
      </c>
    </row>
    <row r="5" spans="1:7" ht="13.5">
      <c r="A5" t="s">
        <v>1572</v>
      </c>
      <c r="B5">
        <v>1675</v>
      </c>
      <c r="C5" t="s">
        <v>1347</v>
      </c>
      <c r="D5">
        <v>0.09886</v>
      </c>
      <c r="E5" t="s">
        <v>1351</v>
      </c>
      <c r="F5" s="100">
        <v>2632.01</v>
      </c>
      <c r="G5" s="3">
        <v>40049</v>
      </c>
    </row>
    <row r="6" spans="1:7" ht="13.5">
      <c r="A6" t="s">
        <v>1352</v>
      </c>
      <c r="B6">
        <v>1676</v>
      </c>
      <c r="C6" t="s">
        <v>1347</v>
      </c>
      <c r="D6" t="s">
        <v>1353</v>
      </c>
      <c r="F6" s="100">
        <v>6862.02</v>
      </c>
      <c r="G6" s="3">
        <v>40049</v>
      </c>
    </row>
    <row r="7" ht="13.5">
      <c r="D7" t="s">
        <v>1354</v>
      </c>
    </row>
    <row r="8" ht="13.5">
      <c r="D8" t="s">
        <v>1355</v>
      </c>
    </row>
    <row r="9" ht="13.5">
      <c r="D9" t="s">
        <v>1356</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drammer</cp:lastModifiedBy>
  <cp:lastPrinted>2010-02-16T10:13:48Z</cp:lastPrinted>
  <dcterms:created xsi:type="dcterms:W3CDTF">2008-05-01T01:04:12Z</dcterms:created>
  <dcterms:modified xsi:type="dcterms:W3CDTF">2010-03-18T16:09:35Z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